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VVL\3. Pijler Expertisecentrum\Rapporten\"/>
    </mc:Choice>
  </mc:AlternateContent>
  <bookViews>
    <workbookView xWindow="0" yWindow="0" windowWidth="14370" windowHeight="7515"/>
  </bookViews>
  <sheets>
    <sheet name="Blad1" sheetId="1" r:id="rId1"/>
    <sheet name="Best case" sheetId="2" r:id="rId2"/>
    <sheet name="Average case" sheetId="5" r:id="rId3"/>
    <sheet name="Worst case" sheetId="6" r:id="rId4"/>
  </sheets>
  <definedNames>
    <definedName name="_xlnm.Print_Area" localSheetId="0">Blad1!$A$2:$L$22</definedName>
    <definedName name="JAREN">OFFSET('Best case'!$A$3,0,0,Blad1!$D$16+1,1)</definedName>
    <definedName name="NCWAC">OFFSET('Average case'!$H$3,0,0,Blad1!$D$16+1,1)</definedName>
    <definedName name="NCWBC">OFFSET('Best case'!$H$3,0,0,Blad1!$C$16+1,1)</definedName>
    <definedName name="NCWWC">OFFSET('Worst case'!$H$3,0,0,Blad1!$E$16+1,1)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D1" i="2"/>
  <c r="H1" i="2"/>
  <c r="H1" i="6"/>
  <c r="H1" i="5"/>
  <c r="L3" i="2" l="1"/>
  <c r="D1" i="6"/>
  <c r="D1" i="5"/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D4" i="2" l="1"/>
  <c r="G19" i="2" l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E16" i="1"/>
  <c r="G19" i="6" s="1"/>
  <c r="D16" i="1"/>
  <c r="G24" i="5" s="1"/>
  <c r="B13" i="6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5" i="2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3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3" i="5"/>
  <c r="C1" i="6"/>
  <c r="B3" i="6"/>
  <c r="B1" i="6"/>
  <c r="B4" i="6" s="1"/>
  <c r="C1" i="5"/>
  <c r="B1" i="5"/>
  <c r="B4" i="5" s="1"/>
  <c r="B3" i="5"/>
  <c r="B1" i="2"/>
  <c r="B4" i="2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3" i="2"/>
  <c r="D10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1" i="2"/>
  <c r="B3" i="2"/>
  <c r="G3" i="2" s="1"/>
  <c r="B25" i="5" l="1"/>
  <c r="B37" i="6"/>
  <c r="B30" i="5"/>
  <c r="B12" i="6"/>
  <c r="B5" i="6"/>
  <c r="B53" i="6"/>
  <c r="B6" i="6"/>
  <c r="B52" i="6"/>
  <c r="B36" i="6"/>
  <c r="B30" i="6"/>
  <c r="B29" i="6"/>
  <c r="C7" i="2"/>
  <c r="C4" i="2"/>
  <c r="G4" i="2" s="1"/>
  <c r="C5" i="6"/>
  <c r="C4" i="6"/>
  <c r="C6" i="6"/>
  <c r="C7" i="6"/>
  <c r="C8" i="6"/>
  <c r="C7" i="5"/>
  <c r="C5" i="5"/>
  <c r="C6" i="5"/>
  <c r="C4" i="5"/>
  <c r="C8" i="5"/>
  <c r="C13" i="2"/>
  <c r="C12" i="2"/>
  <c r="C11" i="2"/>
  <c r="C10" i="2"/>
  <c r="F10" i="2" s="1"/>
  <c r="C9" i="2"/>
  <c r="B46" i="6"/>
  <c r="B45" i="6"/>
  <c r="B20" i="6"/>
  <c r="B28" i="6"/>
  <c r="B22" i="6"/>
  <c r="B38" i="6"/>
  <c r="B14" i="6"/>
  <c r="B52" i="5"/>
  <c r="B44" i="6"/>
  <c r="B21" i="6"/>
  <c r="B50" i="5"/>
  <c r="B38" i="5"/>
  <c r="B10" i="5"/>
  <c r="B48" i="6"/>
  <c r="B40" i="6"/>
  <c r="B32" i="6"/>
  <c r="B24" i="6"/>
  <c r="B16" i="6"/>
  <c r="B8" i="6"/>
  <c r="B32" i="5"/>
  <c r="B7" i="5"/>
  <c r="B47" i="6"/>
  <c r="B39" i="6"/>
  <c r="B31" i="6"/>
  <c r="B23" i="6"/>
  <c r="B15" i="6"/>
  <c r="B7" i="6"/>
  <c r="B19" i="5"/>
  <c r="B43" i="6"/>
  <c r="B27" i="6"/>
  <c r="B11" i="6"/>
  <c r="B40" i="5"/>
  <c r="B14" i="5"/>
  <c r="B50" i="6"/>
  <c r="B42" i="6"/>
  <c r="B34" i="6"/>
  <c r="B26" i="6"/>
  <c r="B18" i="6"/>
  <c r="B10" i="6"/>
  <c r="B23" i="5"/>
  <c r="B48" i="5"/>
  <c r="B51" i="6"/>
  <c r="B35" i="6"/>
  <c r="B19" i="6"/>
  <c r="B39" i="5"/>
  <c r="B11" i="5"/>
  <c r="B49" i="6"/>
  <c r="B41" i="6"/>
  <c r="B33" i="6"/>
  <c r="B25" i="6"/>
  <c r="B17" i="6"/>
  <c r="B9" i="6"/>
  <c r="G47" i="5"/>
  <c r="G39" i="5"/>
  <c r="G31" i="5"/>
  <c r="G23" i="5"/>
  <c r="G50" i="6"/>
  <c r="G42" i="6"/>
  <c r="G34" i="6"/>
  <c r="G26" i="6"/>
  <c r="G46" i="5"/>
  <c r="G38" i="5"/>
  <c r="G30" i="5"/>
  <c r="G22" i="5"/>
  <c r="G49" i="6"/>
  <c r="G41" i="6"/>
  <c r="G33" i="6"/>
  <c r="G25" i="6"/>
  <c r="G53" i="5"/>
  <c r="G45" i="5"/>
  <c r="G37" i="5"/>
  <c r="G29" i="5"/>
  <c r="G21" i="5"/>
  <c r="G48" i="6"/>
  <c r="G40" i="6"/>
  <c r="G32" i="6"/>
  <c r="G24" i="6"/>
  <c r="G52" i="5"/>
  <c r="G44" i="5"/>
  <c r="G36" i="5"/>
  <c r="G28" i="5"/>
  <c r="G20" i="5"/>
  <c r="G47" i="6"/>
  <c r="G39" i="6"/>
  <c r="G31" i="6"/>
  <c r="G23" i="6"/>
  <c r="G51" i="5"/>
  <c r="G43" i="5"/>
  <c r="G35" i="5"/>
  <c r="G27" i="5"/>
  <c r="G19" i="5"/>
  <c r="G46" i="6"/>
  <c r="G38" i="6"/>
  <c r="G30" i="6"/>
  <c r="G22" i="6"/>
  <c r="G50" i="5"/>
  <c r="G42" i="5"/>
  <c r="G34" i="5"/>
  <c r="G26" i="5"/>
  <c r="G53" i="6"/>
  <c r="G45" i="6"/>
  <c r="G37" i="6"/>
  <c r="G29" i="6"/>
  <c r="G21" i="6"/>
  <c r="B43" i="5"/>
  <c r="B22" i="5"/>
  <c r="G49" i="5"/>
  <c r="G41" i="5"/>
  <c r="G33" i="5"/>
  <c r="G25" i="5"/>
  <c r="G52" i="6"/>
  <c r="G44" i="6"/>
  <c r="G36" i="6"/>
  <c r="G28" i="6"/>
  <c r="G20" i="6"/>
  <c r="G48" i="5"/>
  <c r="G40" i="5"/>
  <c r="G32" i="5"/>
  <c r="G51" i="6"/>
  <c r="G43" i="6"/>
  <c r="G35" i="6"/>
  <c r="G27" i="6"/>
  <c r="F3" i="6"/>
  <c r="H3" i="6" s="1"/>
  <c r="F3" i="2"/>
  <c r="G3" i="6"/>
  <c r="F3" i="5"/>
  <c r="H3" i="5" s="1"/>
  <c r="G3" i="5"/>
  <c r="D8" i="2"/>
  <c r="B49" i="5"/>
  <c r="B34" i="5"/>
  <c r="B20" i="5"/>
  <c r="B47" i="5"/>
  <c r="B31" i="5"/>
  <c r="B16" i="5"/>
  <c r="B41" i="5"/>
  <c r="B28" i="5"/>
  <c r="B12" i="5"/>
  <c r="B46" i="5"/>
  <c r="B36" i="5"/>
  <c r="B27" i="5"/>
  <c r="B18" i="5"/>
  <c r="B9" i="5"/>
  <c r="B5" i="5"/>
  <c r="B44" i="5"/>
  <c r="B35" i="5"/>
  <c r="B26" i="5"/>
  <c r="B17" i="5"/>
  <c r="B8" i="5"/>
  <c r="B51" i="5"/>
  <c r="B42" i="5"/>
  <c r="B33" i="5"/>
  <c r="B24" i="5"/>
  <c r="B15" i="5"/>
  <c r="B6" i="5"/>
  <c r="B53" i="5"/>
  <c r="B45" i="5"/>
  <c r="B37" i="5"/>
  <c r="B29" i="5"/>
  <c r="B21" i="5"/>
  <c r="B13" i="5"/>
  <c r="C8" i="2"/>
  <c r="D32" i="2"/>
  <c r="F32" i="2" s="1"/>
  <c r="D9" i="2"/>
  <c r="D33" i="2"/>
  <c r="F33" i="2" s="1"/>
  <c r="D41" i="2"/>
  <c r="F41" i="2" s="1"/>
  <c r="D40" i="2"/>
  <c r="F40" i="2" s="1"/>
  <c r="C5" i="2"/>
  <c r="D25" i="2"/>
  <c r="F25" i="2" s="1"/>
  <c r="C6" i="2"/>
  <c r="D49" i="2"/>
  <c r="F49" i="2" s="1"/>
  <c r="D17" i="2"/>
  <c r="F17" i="2" s="1"/>
  <c r="D24" i="2"/>
  <c r="F24" i="2" s="1"/>
  <c r="D48" i="2"/>
  <c r="F48" i="2" s="1"/>
  <c r="D16" i="2"/>
  <c r="F16" i="2" s="1"/>
  <c r="D33" i="6"/>
  <c r="D45" i="6"/>
  <c r="D17" i="6"/>
  <c r="D11" i="6"/>
  <c r="D49" i="6"/>
  <c r="D5" i="6"/>
  <c r="D48" i="6"/>
  <c r="D43" i="6"/>
  <c r="D37" i="6"/>
  <c r="D9" i="6"/>
  <c r="D52" i="6"/>
  <c r="D51" i="6"/>
  <c r="D40" i="6"/>
  <c r="D14" i="6"/>
  <c r="D8" i="6"/>
  <c r="D46" i="6"/>
  <c r="D6" i="6"/>
  <c r="D47" i="2"/>
  <c r="F47" i="2" s="1"/>
  <c r="D39" i="2"/>
  <c r="F39" i="2" s="1"/>
  <c r="D31" i="2"/>
  <c r="F31" i="2" s="1"/>
  <c r="D15" i="2"/>
  <c r="D7" i="2"/>
  <c r="D46" i="2"/>
  <c r="F46" i="2" s="1"/>
  <c r="D38" i="2"/>
  <c r="F38" i="2" s="1"/>
  <c r="D30" i="2"/>
  <c r="F30" i="2" s="1"/>
  <c r="D22" i="2"/>
  <c r="F22" i="2" s="1"/>
  <c r="D14" i="2"/>
  <c r="D6" i="2"/>
  <c r="D23" i="2"/>
  <c r="F23" i="2" s="1"/>
  <c r="D53" i="2"/>
  <c r="F53" i="2" s="1"/>
  <c r="D45" i="2"/>
  <c r="F45" i="2" s="1"/>
  <c r="D37" i="2"/>
  <c r="F37" i="2" s="1"/>
  <c r="D29" i="2"/>
  <c r="F29" i="2" s="1"/>
  <c r="D21" i="2"/>
  <c r="F21" i="2" s="1"/>
  <c r="D13" i="2"/>
  <c r="D5" i="2"/>
  <c r="D52" i="2"/>
  <c r="F52" i="2" s="1"/>
  <c r="D44" i="2"/>
  <c r="F44" i="2" s="1"/>
  <c r="D36" i="2"/>
  <c r="F36" i="2" s="1"/>
  <c r="D28" i="2"/>
  <c r="F28" i="2" s="1"/>
  <c r="D20" i="2"/>
  <c r="F20" i="2" s="1"/>
  <c r="D12" i="2"/>
  <c r="D51" i="2"/>
  <c r="F51" i="2" s="1"/>
  <c r="D43" i="2"/>
  <c r="F43" i="2" s="1"/>
  <c r="D35" i="2"/>
  <c r="F35" i="2" s="1"/>
  <c r="D27" i="2"/>
  <c r="F27" i="2" s="1"/>
  <c r="D19" i="2"/>
  <c r="F19" i="2" s="1"/>
  <c r="D11" i="2"/>
  <c r="D50" i="2"/>
  <c r="F50" i="2" s="1"/>
  <c r="D42" i="2"/>
  <c r="F42" i="2" s="1"/>
  <c r="D34" i="2"/>
  <c r="F34" i="2" s="1"/>
  <c r="D26" i="2"/>
  <c r="F26" i="2" s="1"/>
  <c r="D18" i="2"/>
  <c r="G18" i="2" s="1"/>
  <c r="D42" i="5"/>
  <c r="D45" i="5"/>
  <c r="D19" i="5"/>
  <c r="D25" i="5"/>
  <c r="F25" i="5" s="1"/>
  <c r="D11" i="5"/>
  <c r="D14" i="5"/>
  <c r="D39" i="5"/>
  <c r="D33" i="5"/>
  <c r="D22" i="5"/>
  <c r="D13" i="6"/>
  <c r="F13" i="6" s="1"/>
  <c r="D16" i="6"/>
  <c r="D19" i="6"/>
  <c r="D22" i="6"/>
  <c r="D25" i="6"/>
  <c r="D53" i="6"/>
  <c r="D29" i="6"/>
  <c r="D32" i="6"/>
  <c r="D35" i="6"/>
  <c r="D38" i="6"/>
  <c r="D41" i="6"/>
  <c r="D21" i="6"/>
  <c r="D24" i="6"/>
  <c r="D27" i="6"/>
  <c r="D30" i="6"/>
  <c r="D10" i="6"/>
  <c r="D18" i="6"/>
  <c r="D26" i="6"/>
  <c r="D34" i="6"/>
  <c r="D42" i="6"/>
  <c r="D50" i="6"/>
  <c r="D7" i="6"/>
  <c r="D15" i="6"/>
  <c r="D23" i="6"/>
  <c r="D31" i="6"/>
  <c r="D39" i="6"/>
  <c r="D47" i="6"/>
  <c r="D4" i="6"/>
  <c r="D12" i="6"/>
  <c r="F12" i="6" s="1"/>
  <c r="D20" i="6"/>
  <c r="D28" i="6"/>
  <c r="D36" i="6"/>
  <c r="D44" i="6"/>
  <c r="D9" i="5"/>
  <c r="D23" i="5"/>
  <c r="D34" i="5"/>
  <c r="D37" i="5"/>
  <c r="D15" i="5"/>
  <c r="D26" i="5"/>
  <c r="D29" i="5"/>
  <c r="D46" i="5"/>
  <c r="D49" i="5"/>
  <c r="D52" i="5"/>
  <c r="D6" i="5"/>
  <c r="D18" i="5"/>
  <c r="D21" i="5"/>
  <c r="D10" i="5"/>
  <c r="D13" i="5"/>
  <c r="D35" i="5"/>
  <c r="D38" i="5"/>
  <c r="D53" i="5"/>
  <c r="D7" i="5"/>
  <c r="D27" i="5"/>
  <c r="D30" i="5"/>
  <c r="D41" i="5"/>
  <c r="D47" i="5"/>
  <c r="D50" i="5"/>
  <c r="D5" i="5"/>
  <c r="D17" i="5"/>
  <c r="D31" i="5"/>
  <c r="D43" i="5"/>
  <c r="D51" i="5"/>
  <c r="D8" i="5"/>
  <c r="D16" i="5"/>
  <c r="D24" i="5"/>
  <c r="D32" i="5"/>
  <c r="D40" i="5"/>
  <c r="D48" i="5"/>
  <c r="D4" i="5"/>
  <c r="D12" i="5"/>
  <c r="D20" i="5"/>
  <c r="D28" i="5"/>
  <c r="D36" i="5"/>
  <c r="D44" i="5"/>
  <c r="F37" i="6" l="1"/>
  <c r="F50" i="5"/>
  <c r="F33" i="6"/>
  <c r="F36" i="6"/>
  <c r="F28" i="6"/>
  <c r="F30" i="5"/>
  <c r="F18" i="6"/>
  <c r="F17" i="6"/>
  <c r="F21" i="6"/>
  <c r="F45" i="6"/>
  <c r="G15" i="6"/>
  <c r="F53" i="6"/>
  <c r="F52" i="5"/>
  <c r="F23" i="5"/>
  <c r="F52" i="6"/>
  <c r="F29" i="6"/>
  <c r="F20" i="6"/>
  <c r="F44" i="6"/>
  <c r="F23" i="6"/>
  <c r="F30" i="6"/>
  <c r="F48" i="5"/>
  <c r="F22" i="6"/>
  <c r="F12" i="2"/>
  <c r="F34" i="6"/>
  <c r="G6" i="6"/>
  <c r="G14" i="6"/>
  <c r="F51" i="6"/>
  <c r="G4" i="5"/>
  <c r="F50" i="6"/>
  <c r="F24" i="6"/>
  <c r="F14" i="5"/>
  <c r="G13" i="2"/>
  <c r="F39" i="6"/>
  <c r="F26" i="6"/>
  <c r="F38" i="6"/>
  <c r="F46" i="6"/>
  <c r="F9" i="2"/>
  <c r="G10" i="2"/>
  <c r="F11" i="2"/>
  <c r="G7" i="6"/>
  <c r="G5" i="2"/>
  <c r="F38" i="5"/>
  <c r="F19" i="6"/>
  <c r="F19" i="5"/>
  <c r="F9" i="6"/>
  <c r="F35" i="6"/>
  <c r="F14" i="6"/>
  <c r="F32" i="5"/>
  <c r="F42" i="6"/>
  <c r="F39" i="5"/>
  <c r="F47" i="6"/>
  <c r="F11" i="6"/>
  <c r="F40" i="5"/>
  <c r="F27" i="6"/>
  <c r="F25" i="6"/>
  <c r="F40" i="6"/>
  <c r="F49" i="6"/>
  <c r="F31" i="6"/>
  <c r="F7" i="5"/>
  <c r="F32" i="6"/>
  <c r="F43" i="6"/>
  <c r="F41" i="6"/>
  <c r="F10" i="6"/>
  <c r="F48" i="6"/>
  <c r="G10" i="6"/>
  <c r="F22" i="5"/>
  <c r="F43" i="5"/>
  <c r="F31" i="5"/>
  <c r="F47" i="5"/>
  <c r="F4" i="5"/>
  <c r="G16" i="2"/>
  <c r="F8" i="2"/>
  <c r="F46" i="5"/>
  <c r="F34" i="5"/>
  <c r="G12" i="6"/>
  <c r="F4" i="2"/>
  <c r="F35" i="5"/>
  <c r="G11" i="6"/>
  <c r="G9" i="6"/>
  <c r="G4" i="6"/>
  <c r="G5" i="6"/>
  <c r="F37" i="5"/>
  <c r="F51" i="5"/>
  <c r="F4" i="6"/>
  <c r="H4" i="6" s="1"/>
  <c r="G12" i="2"/>
  <c r="F45" i="5"/>
  <c r="G17" i="6"/>
  <c r="G11" i="5"/>
  <c r="F11" i="5"/>
  <c r="F15" i="2"/>
  <c r="G15" i="2"/>
  <c r="G9" i="5"/>
  <c r="F9" i="5"/>
  <c r="F16" i="5"/>
  <c r="G16" i="5"/>
  <c r="F6" i="6"/>
  <c r="F13" i="2"/>
  <c r="G14" i="2"/>
  <c r="F14" i="2"/>
  <c r="G18" i="5"/>
  <c r="F18" i="5"/>
  <c r="G7" i="5"/>
  <c r="F18" i="2"/>
  <c r="F16" i="6"/>
  <c r="G16" i="6"/>
  <c r="F6" i="2"/>
  <c r="G6" i="2"/>
  <c r="F53" i="5"/>
  <c r="F8" i="5"/>
  <c r="G8" i="5"/>
  <c r="F27" i="5"/>
  <c r="G11" i="2"/>
  <c r="F6" i="5"/>
  <c r="G6" i="5"/>
  <c r="F17" i="5"/>
  <c r="G17" i="5"/>
  <c r="F36" i="5"/>
  <c r="F20" i="5"/>
  <c r="G14" i="5"/>
  <c r="G13" i="6"/>
  <c r="G9" i="2"/>
  <c r="F5" i="2"/>
  <c r="F10" i="5"/>
  <c r="G10" i="5"/>
  <c r="F15" i="5"/>
  <c r="G15" i="5"/>
  <c r="F26" i="5"/>
  <c r="G17" i="2"/>
  <c r="G13" i="5"/>
  <c r="F13" i="5"/>
  <c r="F24" i="5"/>
  <c r="G12" i="5"/>
  <c r="F12" i="5"/>
  <c r="F49" i="5"/>
  <c r="F8" i="6"/>
  <c r="G8" i="6"/>
  <c r="F21" i="5"/>
  <c r="F33" i="5"/>
  <c r="F44" i="5"/>
  <c r="F28" i="5"/>
  <c r="F5" i="6"/>
  <c r="F7" i="6"/>
  <c r="G18" i="6"/>
  <c r="F7" i="2"/>
  <c r="G7" i="2"/>
  <c r="F29" i="5"/>
  <c r="F42" i="5"/>
  <c r="F5" i="5"/>
  <c r="G5" i="5"/>
  <c r="F41" i="5"/>
  <c r="G8" i="2"/>
  <c r="F15" i="6"/>
  <c r="H3" i="2"/>
  <c r="K5" i="5" l="1"/>
  <c r="C20" i="1"/>
  <c r="I3" i="6"/>
  <c r="H4" i="2"/>
  <c r="H6" i="2"/>
  <c r="E20" i="1"/>
  <c r="D20" i="1"/>
  <c r="H7" i="2"/>
  <c r="H17" i="2"/>
  <c r="H25" i="2"/>
  <c r="H8" i="2"/>
  <c r="H9" i="2"/>
  <c r="H33" i="2"/>
  <c r="H41" i="2"/>
  <c r="H5" i="2"/>
  <c r="H49" i="2"/>
  <c r="H12" i="2"/>
  <c r="H31" i="2"/>
  <c r="H20" i="2"/>
  <c r="H37" i="2"/>
  <c r="H10" i="2"/>
  <c r="H23" i="2"/>
  <c r="H40" i="2"/>
  <c r="H51" i="2"/>
  <c r="H44" i="2"/>
  <c r="H13" i="2"/>
  <c r="H45" i="2"/>
  <c r="H42" i="2"/>
  <c r="H29" i="2"/>
  <c r="H32" i="2"/>
  <c r="H15" i="2"/>
  <c r="H16" i="2"/>
  <c r="H43" i="2"/>
  <c r="I43" i="2" s="1"/>
  <c r="H28" i="2"/>
  <c r="H21" i="2"/>
  <c r="H46" i="2"/>
  <c r="H39" i="2"/>
  <c r="H35" i="2"/>
  <c r="H50" i="2"/>
  <c r="H38" i="2"/>
  <c r="H27" i="2"/>
  <c r="H48" i="2"/>
  <c r="H19" i="2"/>
  <c r="I19" i="2" s="1"/>
  <c r="H24" i="2"/>
  <c r="H22" i="2"/>
  <c r="H52" i="2"/>
  <c r="H11" i="2"/>
  <c r="H26" i="2"/>
  <c r="H47" i="2"/>
  <c r="H14" i="2"/>
  <c r="H36" i="2"/>
  <c r="H53" i="2"/>
  <c r="I53" i="2" s="1"/>
  <c r="H18" i="2"/>
  <c r="H30" i="2"/>
  <c r="H34" i="2"/>
  <c r="H6" i="6"/>
  <c r="H22" i="6"/>
  <c r="H5" i="6"/>
  <c r="H21" i="6"/>
  <c r="H30" i="6"/>
  <c r="H12" i="6"/>
  <c r="H43" i="6"/>
  <c r="I43" i="6" s="1"/>
  <c r="H19" i="6"/>
  <c r="H52" i="6"/>
  <c r="I52" i="6" s="1"/>
  <c r="H48" i="6"/>
  <c r="H42" i="6"/>
  <c r="H32" i="6"/>
  <c r="H50" i="6"/>
  <c r="H23" i="6"/>
  <c r="H10" i="6"/>
  <c r="H53" i="6"/>
  <c r="I53" i="6" s="1"/>
  <c r="H39" i="6"/>
  <c r="H27" i="6"/>
  <c r="H44" i="6"/>
  <c r="H20" i="6"/>
  <c r="I20" i="6" s="1"/>
  <c r="H28" i="6"/>
  <c r="H40" i="6"/>
  <c r="H41" i="6"/>
  <c r="I41" i="6" s="1"/>
  <c r="H11" i="6"/>
  <c r="H35" i="6"/>
  <c r="H14" i="6"/>
  <c r="H34" i="6"/>
  <c r="H15" i="6"/>
  <c r="H36" i="6"/>
  <c r="H45" i="6"/>
  <c r="H38" i="6"/>
  <c r="H24" i="6"/>
  <c r="H37" i="6"/>
  <c r="H18" i="6"/>
  <c r="H47" i="6"/>
  <c r="H49" i="6"/>
  <c r="H8" i="6"/>
  <c r="H16" i="6"/>
  <c r="H25" i="6"/>
  <c r="H33" i="6"/>
  <c r="H7" i="6"/>
  <c r="H31" i="6"/>
  <c r="H17" i="6"/>
  <c r="H29" i="6"/>
  <c r="H9" i="6"/>
  <c r="H51" i="6"/>
  <c r="H26" i="6"/>
  <c r="H46" i="6"/>
  <c r="H13" i="6"/>
  <c r="I46" i="6" l="1"/>
  <c r="I33" i="6"/>
  <c r="I27" i="6"/>
  <c r="I31" i="6"/>
  <c r="I18" i="6"/>
  <c r="I14" i="6"/>
  <c r="I48" i="6"/>
  <c r="I14" i="2"/>
  <c r="I16" i="6"/>
  <c r="I48" i="2"/>
  <c r="I25" i="2"/>
  <c r="I22" i="6"/>
  <c r="I7" i="6"/>
  <c r="I35" i="6"/>
  <c r="I39" i="6"/>
  <c r="I49" i="6"/>
  <c r="I29" i="6"/>
  <c r="I31" i="2"/>
  <c r="I17" i="2"/>
  <c r="I38" i="2"/>
  <c r="I51" i="2"/>
  <c r="I49" i="2"/>
  <c r="I21" i="2"/>
  <c r="I28" i="2"/>
  <c r="I34" i="2"/>
  <c r="I40" i="2"/>
  <c r="I5" i="2"/>
  <c r="I51" i="6"/>
  <c r="I45" i="6"/>
  <c r="I23" i="6"/>
  <c r="I38" i="6"/>
  <c r="I10" i="6"/>
  <c r="I32" i="6"/>
  <c r="I16" i="2"/>
  <c r="I52" i="2"/>
  <c r="I22" i="2"/>
  <c r="I39" i="2"/>
  <c r="I29" i="2"/>
  <c r="I36" i="2"/>
  <c r="I45" i="2"/>
  <c r="I8" i="2"/>
  <c r="I13" i="6"/>
  <c r="I37" i="6"/>
  <c r="I6" i="6"/>
  <c r="I24" i="6"/>
  <c r="I11" i="6"/>
  <c r="I19" i="6"/>
  <c r="I26" i="6"/>
  <c r="I25" i="6"/>
  <c r="I40" i="6"/>
  <c r="I12" i="6"/>
  <c r="I9" i="6"/>
  <c r="I8" i="6"/>
  <c r="I36" i="6"/>
  <c r="I28" i="6"/>
  <c r="I50" i="6"/>
  <c r="I30" i="6"/>
  <c r="I15" i="6"/>
  <c r="I21" i="6"/>
  <c r="I17" i="6"/>
  <c r="I47" i="6"/>
  <c r="I34" i="6"/>
  <c r="I44" i="6"/>
  <c r="I42" i="6"/>
  <c r="I5" i="6"/>
  <c r="I4" i="6"/>
  <c r="I13" i="2"/>
  <c r="I47" i="2"/>
  <c r="I26" i="2"/>
  <c r="I11" i="2"/>
  <c r="I50" i="2"/>
  <c r="I15" i="2"/>
  <c r="I30" i="2"/>
  <c r="I35" i="2"/>
  <c r="I32" i="2"/>
  <c r="I23" i="2"/>
  <c r="I41" i="2"/>
  <c r="I20" i="2"/>
  <c r="I27" i="2"/>
  <c r="I44" i="2"/>
  <c r="I12" i="2"/>
  <c r="I7" i="2"/>
  <c r="I18" i="2"/>
  <c r="I10" i="2"/>
  <c r="I33" i="2"/>
  <c r="I6" i="2"/>
  <c r="I24" i="2"/>
  <c r="I46" i="2"/>
  <c r="I42" i="2"/>
  <c r="I37" i="2"/>
  <c r="I9" i="2"/>
  <c r="I3" i="2"/>
  <c r="I4" i="2"/>
  <c r="E19" i="1"/>
  <c r="C19" i="1"/>
  <c r="I1" i="6" l="1"/>
  <c r="E21" i="1" s="1"/>
  <c r="I1" i="2" l="1"/>
  <c r="C21" i="1" s="1"/>
  <c r="H21" i="5" l="1"/>
  <c r="H33" i="5"/>
  <c r="H43" i="5"/>
  <c r="H48" i="5"/>
  <c r="H51" i="5"/>
  <c r="H45" i="5"/>
  <c r="H7" i="5"/>
  <c r="H5" i="5"/>
  <c r="H30" i="5"/>
  <c r="H26" i="5"/>
  <c r="H12" i="5"/>
  <c r="H42" i="5"/>
  <c r="H36" i="5"/>
  <c r="H20" i="5"/>
  <c r="H44" i="5"/>
  <c r="H32" i="5"/>
  <c r="H46" i="5"/>
  <c r="H16" i="5"/>
  <c r="H49" i="5"/>
  <c r="H10" i="5"/>
  <c r="H13" i="5"/>
  <c r="H9" i="5"/>
  <c r="H40" i="5"/>
  <c r="H11" i="5"/>
  <c r="H14" i="5"/>
  <c r="H25" i="5"/>
  <c r="I25" i="5" s="1"/>
  <c r="H23" i="5"/>
  <c r="H31" i="5"/>
  <c r="H15" i="5"/>
  <c r="I15" i="5" s="1"/>
  <c r="H41" i="5"/>
  <c r="H24" i="5"/>
  <c r="H17" i="5"/>
  <c r="H29" i="5"/>
  <c r="I29" i="5" s="1"/>
  <c r="H22" i="5"/>
  <c r="H50" i="5"/>
  <c r="H53" i="5"/>
  <c r="I53" i="5" s="1"/>
  <c r="H34" i="5"/>
  <c r="H39" i="5"/>
  <c r="H8" i="5"/>
  <c r="H4" i="5"/>
  <c r="H47" i="5"/>
  <c r="H37" i="5"/>
  <c r="H6" i="5"/>
  <c r="H27" i="5"/>
  <c r="H38" i="5"/>
  <c r="H35" i="5"/>
  <c r="H52" i="5"/>
  <c r="H18" i="5"/>
  <c r="H19" i="5"/>
  <c r="H28" i="5"/>
  <c r="I8" i="5" l="1"/>
  <c r="I44" i="5"/>
  <c r="I18" i="5"/>
  <c r="I32" i="5"/>
  <c r="I20" i="5"/>
  <c r="I45" i="5"/>
  <c r="I13" i="5"/>
  <c r="I28" i="5"/>
  <c r="I11" i="5"/>
  <c r="I5" i="5"/>
  <c r="I52" i="5"/>
  <c r="I24" i="5"/>
  <c r="I35" i="5"/>
  <c r="I41" i="5"/>
  <c r="I9" i="5"/>
  <c r="I50" i="5"/>
  <c r="I12" i="5"/>
  <c r="I26" i="5"/>
  <c r="I47" i="5"/>
  <c r="I4" i="5"/>
  <c r="I3" i="5"/>
  <c r="I38" i="5"/>
  <c r="I34" i="5"/>
  <c r="I36" i="5"/>
  <c r="I51" i="5"/>
  <c r="I27" i="5"/>
  <c r="I31" i="5"/>
  <c r="I10" i="5"/>
  <c r="I42" i="5"/>
  <c r="I48" i="5"/>
  <c r="I17" i="5"/>
  <c r="I40" i="5"/>
  <c r="I7" i="5"/>
  <c r="I39" i="5"/>
  <c r="I6" i="5"/>
  <c r="I23" i="5"/>
  <c r="I49" i="5"/>
  <c r="I43" i="5"/>
  <c r="I37" i="5"/>
  <c r="I22" i="5"/>
  <c r="I16" i="5"/>
  <c r="I33" i="5"/>
  <c r="I19" i="5"/>
  <c r="I14" i="5"/>
  <c r="I46" i="5"/>
  <c r="I30" i="5"/>
  <c r="I21" i="5"/>
  <c r="D19" i="1"/>
  <c r="I1" i="5" l="1"/>
  <c r="D21" i="1" s="1"/>
</calcChain>
</file>

<file path=xl/comments1.xml><?xml version="1.0" encoding="utf-8"?>
<comments xmlns="http://schemas.openxmlformats.org/spreadsheetml/2006/main">
  <authors>
    <author>Michiel van Bruggen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>Investering (zonder min-teken)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 xml:space="preserve">gesaldeerde opbrengsten en kosten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Indien gebruik wordt gemaakt van Vamil, vul hier 1 in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vul alleen bij best case in, periode moet voor alle scenario's gelijk zijn.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>Indien negatief, negatief invullen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Exclusief inflatie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Vul hier eventueel extra jaarlijkse cash-flows in.</t>
        </r>
      </text>
    </comment>
  </commentList>
</comments>
</file>

<file path=xl/sharedStrings.xml><?xml version="1.0" encoding="utf-8"?>
<sst xmlns="http://schemas.openxmlformats.org/spreadsheetml/2006/main" count="106" uniqueCount="82">
  <si>
    <t>Investering</t>
  </si>
  <si>
    <t>worst case</t>
  </si>
  <si>
    <t>average case</t>
  </si>
  <si>
    <t>best case</t>
  </si>
  <si>
    <t>EIA/MIA</t>
  </si>
  <si>
    <t>Fiscale afschrijving</t>
  </si>
  <si>
    <t>Inflatie</t>
  </si>
  <si>
    <t>Vennootschapsbelasting</t>
  </si>
  <si>
    <t>Discontorente</t>
  </si>
  <si>
    <t>Berekening over periode</t>
  </si>
  <si>
    <t>Restwaarde</t>
  </si>
  <si>
    <t>Belasting</t>
  </si>
  <si>
    <t>Opbrengst</t>
  </si>
  <si>
    <t>Totaal</t>
  </si>
  <si>
    <t>OVERIG</t>
  </si>
  <si>
    <t>NCW</t>
  </si>
  <si>
    <t>Extra cash-flows</t>
  </si>
  <si>
    <t xml:space="preserve"> jaar 0</t>
  </si>
  <si>
    <t>jaar 1</t>
  </si>
  <si>
    <t xml:space="preserve"> jaar 2</t>
  </si>
  <si>
    <t xml:space="preserve"> jaar 3</t>
  </si>
  <si>
    <t xml:space="preserve"> jaar 4</t>
  </si>
  <si>
    <t xml:space="preserve"> jaar 5</t>
  </si>
  <si>
    <t xml:space="preserve"> jaar 6</t>
  </si>
  <si>
    <t xml:space="preserve"> jaar 7</t>
  </si>
  <si>
    <t xml:space="preserve"> jaar 8</t>
  </si>
  <si>
    <t xml:space="preserve"> jaar 9</t>
  </si>
  <si>
    <t xml:space="preserve"> jaar 10</t>
  </si>
  <si>
    <t xml:space="preserve"> jaar 11</t>
  </si>
  <si>
    <t xml:space="preserve"> jaar 12</t>
  </si>
  <si>
    <t xml:space="preserve"> jaar 13</t>
  </si>
  <si>
    <t xml:space="preserve"> jaar 14</t>
  </si>
  <si>
    <t xml:space="preserve"> jaar 15</t>
  </si>
  <si>
    <t xml:space="preserve"> jaar 16</t>
  </si>
  <si>
    <t xml:space="preserve"> jaar 17</t>
  </si>
  <si>
    <t xml:space="preserve"> jaar 18</t>
  </si>
  <si>
    <t xml:space="preserve"> jaar 19</t>
  </si>
  <si>
    <t xml:space="preserve"> jaar 20</t>
  </si>
  <si>
    <t xml:space="preserve"> jaar 21</t>
  </si>
  <si>
    <t xml:space="preserve"> jaar 22</t>
  </si>
  <si>
    <t xml:space="preserve"> jaar 23</t>
  </si>
  <si>
    <t xml:space="preserve"> jaar 24</t>
  </si>
  <si>
    <t xml:space="preserve"> jaar 25</t>
  </si>
  <si>
    <t xml:space="preserve"> jaar 26</t>
  </si>
  <si>
    <t xml:space="preserve"> jaar 27</t>
  </si>
  <si>
    <t xml:space="preserve"> jaar 28</t>
  </si>
  <si>
    <t xml:space="preserve"> jaar 29</t>
  </si>
  <si>
    <t xml:space="preserve"> jaar 30</t>
  </si>
  <si>
    <t xml:space="preserve"> jaar 31</t>
  </si>
  <si>
    <t xml:space="preserve"> jaar 32</t>
  </si>
  <si>
    <t xml:space="preserve"> jaar 33</t>
  </si>
  <si>
    <t xml:space="preserve"> jaar 34</t>
  </si>
  <si>
    <t xml:space="preserve"> jaar 35</t>
  </si>
  <si>
    <t xml:space="preserve"> jaar 36</t>
  </si>
  <si>
    <t xml:space="preserve"> jaar 37</t>
  </si>
  <si>
    <t xml:space="preserve"> jaar 38</t>
  </si>
  <si>
    <t xml:space="preserve"> jaar 39</t>
  </si>
  <si>
    <t xml:space="preserve"> jaar 40</t>
  </si>
  <si>
    <t xml:space="preserve"> jaar 41</t>
  </si>
  <si>
    <t xml:space="preserve"> jaar 42</t>
  </si>
  <si>
    <t xml:space="preserve"> jaar 43</t>
  </si>
  <si>
    <t xml:space="preserve"> jaar 44</t>
  </si>
  <si>
    <t xml:space="preserve"> jaar 45</t>
  </si>
  <si>
    <t xml:space="preserve"> jaar 46</t>
  </si>
  <si>
    <t xml:space="preserve"> jaar 47</t>
  </si>
  <si>
    <t xml:space="preserve"> jaar 48</t>
  </si>
  <si>
    <t xml:space="preserve"> jaar 49</t>
  </si>
  <si>
    <t xml:space="preserve"> jaar 50</t>
  </si>
  <si>
    <t>Netto contante waarde</t>
  </si>
  <si>
    <t>Interne rentabiliteit</t>
  </si>
  <si>
    <t>Netto contante terugverdientijd</t>
  </si>
  <si>
    <t>Jaar</t>
  </si>
  <si>
    <t>Totaal2</t>
  </si>
  <si>
    <t>INVOER</t>
  </si>
  <si>
    <t>RESULTATEN</t>
  </si>
  <si>
    <t>NCTvT</t>
  </si>
  <si>
    <t>Totaal 2</t>
  </si>
  <si>
    <t>Netto contante waarde berekening</t>
  </si>
  <si>
    <t>Investeren in energie-efficientie</t>
  </si>
  <si>
    <t>Jaarlijkse besparing energie</t>
  </si>
  <si>
    <t>Jaarlijkse besparing overig</t>
  </si>
  <si>
    <t>Energieprijsstijging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</si>
</sst>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€&quot;\ #,##0;[Red]&quot;€&quot;\ \-#,##0"/>
    <numFmt numFmtId="8" formatCode="&quot;€&quot;\ #,##0.00;[Red]&quot;€&quot;\ \-#,##0.00"/>
    <numFmt numFmtId="164" formatCode="0.0"/>
    <numFmt numFmtId="165" formatCode="_ * #,##0_ ;_ * \-#,##0_ ;_ * &quot;-&quot;??_ ;_ @_ "/>
    <numFmt numFmtId="166" formatCode="0.0%"/>
    <numFmt numFmtId="167" formatCode="&quot;€&quot;\ #,##0.00"/>
    <numFmt numFmtId="168" formatCode="&quot;€&quot;\ #,##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6100"/>
      <name val="Calibri"/>
      <family val="2"/>
      <scheme val="minor"/>
    </font>
    <font>
      <sz val="28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5">
    <xf numFmtId="0" fontId="0" fillId="0" borderId="0" xfId="0"/>
    <xf numFmtId="9" fontId="0" fillId="0" borderId="0" xfId="0" applyNumberFormat="1"/>
    <xf numFmtId="164" fontId="0" fillId="0" borderId="0" xfId="0" applyNumberFormat="1"/>
    <xf numFmtId="6" fontId="0" fillId="0" borderId="0" xfId="0" applyNumberFormat="1"/>
    <xf numFmtId="0" fontId="1" fillId="4" borderId="0" xfId="1" applyFill="1" applyProtection="1"/>
    <xf numFmtId="0" fontId="5" fillId="4" borderId="15" xfId="1" applyFont="1" applyFill="1" applyBorder="1" applyProtection="1"/>
    <xf numFmtId="0" fontId="1" fillId="4" borderId="16" xfId="1" applyFill="1" applyBorder="1" applyProtection="1"/>
    <xf numFmtId="0" fontId="1" fillId="4" borderId="17" xfId="1" applyFill="1" applyBorder="1" applyProtection="1"/>
    <xf numFmtId="0" fontId="6" fillId="4" borderId="0" xfId="1" applyFont="1" applyFill="1" applyProtection="1"/>
    <xf numFmtId="0" fontId="1" fillId="4" borderId="2" xfId="1" applyFill="1" applyBorder="1" applyProtection="1"/>
    <xf numFmtId="0" fontId="1" fillId="4" borderId="18" xfId="1" applyFill="1" applyBorder="1" applyProtection="1"/>
    <xf numFmtId="0" fontId="1" fillId="4" borderId="14" xfId="1" applyFill="1" applyBorder="1" applyProtection="1"/>
    <xf numFmtId="0" fontId="4" fillId="4" borderId="7" xfId="1" applyFont="1" applyFill="1" applyBorder="1" applyProtection="1"/>
    <xf numFmtId="0" fontId="1" fillId="4" borderId="8" xfId="1" applyFill="1" applyBorder="1" applyProtection="1"/>
    <xf numFmtId="0" fontId="1" fillId="4" borderId="9" xfId="1" applyFill="1" applyBorder="1" applyProtection="1"/>
    <xf numFmtId="0" fontId="1" fillId="4" borderId="1" xfId="1" applyFill="1" applyBorder="1" applyProtection="1"/>
    <xf numFmtId="8" fontId="2" fillId="3" borderId="3" xfId="2" applyNumberFormat="1" applyBorder="1" applyProtection="1"/>
    <xf numFmtId="8" fontId="2" fillId="3" borderId="5" xfId="2" applyNumberFormat="1" applyBorder="1" applyProtection="1"/>
    <xf numFmtId="9" fontId="2" fillId="3" borderId="3" xfId="2" applyNumberFormat="1" applyBorder="1" applyProtection="1"/>
    <xf numFmtId="9" fontId="2" fillId="3" borderId="5" xfId="2" applyNumberFormat="1" applyBorder="1" applyProtection="1"/>
    <xf numFmtId="164" fontId="2" fillId="3" borderId="4" xfId="2" applyNumberFormat="1" applyBorder="1" applyProtection="1"/>
    <xf numFmtId="0" fontId="1" fillId="4" borderId="10" xfId="1" applyFill="1" applyBorder="1" applyProtection="1"/>
    <xf numFmtId="0" fontId="1" fillId="4" borderId="11" xfId="1" applyFill="1" applyBorder="1" applyProtection="1"/>
    <xf numFmtId="0" fontId="1" fillId="4" borderId="13" xfId="1" applyFill="1" applyBorder="1" applyProtection="1"/>
    <xf numFmtId="0" fontId="1" fillId="2" borderId="3" xfId="1" applyBorder="1" applyProtection="1">
      <protection locked="0"/>
    </xf>
    <xf numFmtId="0" fontId="1" fillId="2" borderId="5" xfId="1" applyBorder="1" applyProtection="1">
      <protection locked="0"/>
    </xf>
    <xf numFmtId="9" fontId="1" fillId="2" borderId="3" xfId="1" applyNumberFormat="1" applyBorder="1" applyProtection="1">
      <protection locked="0"/>
    </xf>
    <xf numFmtId="9" fontId="1" fillId="2" borderId="5" xfId="1" applyNumberFormat="1" applyBorder="1" applyProtection="1">
      <protection locked="0"/>
    </xf>
    <xf numFmtId="0" fontId="1" fillId="2" borderId="0" xfId="1" applyBorder="1" applyProtection="1">
      <protection locked="0"/>
    </xf>
    <xf numFmtId="0" fontId="1" fillId="2" borderId="12" xfId="1" applyBorder="1" applyProtection="1">
      <protection locked="0"/>
    </xf>
    <xf numFmtId="0" fontId="1" fillId="2" borderId="4" xfId="1" applyBorder="1" applyProtection="1">
      <protection locked="0"/>
    </xf>
    <xf numFmtId="0" fontId="1" fillId="2" borderId="14" xfId="1" applyBorder="1" applyProtection="1">
      <protection locked="0"/>
    </xf>
    <xf numFmtId="165" fontId="1" fillId="4" borderId="19" xfId="1" applyNumberFormat="1" applyFill="1" applyBorder="1" applyProtection="1"/>
    <xf numFmtId="166" fontId="1" fillId="2" borderId="3" xfId="1" applyNumberFormat="1" applyBorder="1" applyProtection="1">
      <protection locked="0"/>
    </xf>
    <xf numFmtId="166" fontId="1" fillId="2" borderId="5" xfId="1" applyNumberFormat="1" applyBorder="1" applyProtection="1">
      <protection locked="0"/>
    </xf>
    <xf numFmtId="164" fontId="2" fillId="3" borderId="6" xfId="2" applyNumberFormat="1" applyBorder="1" applyAlignment="1" applyProtection="1">
      <alignment horizontal="center"/>
    </xf>
    <xf numFmtId="9" fontId="1" fillId="4" borderId="0" xfId="1" applyNumberFormat="1" applyFill="1" applyProtection="1"/>
    <xf numFmtId="167" fontId="0" fillId="0" borderId="0" xfId="0" applyNumberFormat="1"/>
    <xf numFmtId="6" fontId="1" fillId="2" borderId="3" xfId="1" applyNumberFormat="1" applyBorder="1" applyProtection="1">
      <protection locked="0"/>
    </xf>
    <xf numFmtId="6" fontId="1" fillId="2" borderId="5" xfId="1" applyNumberFormat="1" applyBorder="1" applyProtection="1">
      <protection locked="0"/>
    </xf>
    <xf numFmtId="166" fontId="0" fillId="0" borderId="0" xfId="0" applyNumberFormat="1"/>
    <xf numFmtId="168" fontId="0" fillId="0" borderId="0" xfId="0" applyNumberFormat="1"/>
    <xf numFmtId="0" fontId="7" fillId="4" borderId="1" xfId="1" applyFont="1" applyFill="1" applyBorder="1" applyAlignment="1" applyProtection="1">
      <alignment horizontal="center"/>
    </xf>
    <xf numFmtId="0" fontId="7" fillId="4" borderId="0" xfId="1" applyFont="1" applyFill="1" applyBorder="1" applyAlignment="1" applyProtection="1">
      <alignment horizontal="center"/>
    </xf>
    <xf numFmtId="0" fontId="7" fillId="4" borderId="12" xfId="1" applyFont="1" applyFill="1" applyBorder="1" applyAlignment="1" applyProtection="1">
      <alignment horizontal="center"/>
    </xf>
  </cellXfs>
  <cellStyles count="3">
    <cellStyle name="Goed" xfId="1" builtinId="26"/>
    <cellStyle name="Neutraal" xfId="2" builtinId="28"/>
    <cellStyle name="Standaard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[0]!JAREN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[0]!NCWBC</c:f>
              <c:numCache>
                <c:formatCode>"€"#,##0_);[Red]\("€"#,##0\)</c:formatCode>
                <c:ptCount val="16"/>
                <c:pt idx="0">
                  <c:v>-10000</c:v>
                </c:pt>
                <c:pt idx="1">
                  <c:v>-6568.6274509803916</c:v>
                </c:pt>
                <c:pt idx="2">
                  <c:v>-3204.5367166474425</c:v>
                </c:pt>
                <c:pt idx="3">
                  <c:v>93.591454267212612</c:v>
                </c:pt>
                <c:pt idx="4">
                  <c:v>3327.0504453600133</c:v>
                </c:pt>
                <c:pt idx="5">
                  <c:v>6497.1082797647214</c:v>
                </c:pt>
                <c:pt idx="6">
                  <c:v>9161.0224263232958</c:v>
                </c:pt>
                <c:pt idx="7">
                  <c:v>11772.702962165036</c:v>
                </c:pt>
                <c:pt idx="8">
                  <c:v>14333.174075735369</c:v>
                </c:pt>
                <c:pt idx="9">
                  <c:v>16843.439873353342</c:v>
                </c:pt>
                <c:pt idx="10">
                  <c:v>19304.484772978809</c:v>
                </c:pt>
                <c:pt idx="11">
                  <c:v>21717.273890258679</c:v>
                </c:pt>
                <c:pt idx="12">
                  <c:v>24082.753417003652</c:v>
                </c:pt>
                <c:pt idx="13">
                  <c:v>26401.85099224381</c:v>
                </c:pt>
                <c:pt idx="14">
                  <c:v>28675.476066008683</c:v>
                </c:pt>
                <c:pt idx="15">
                  <c:v>30904.520255974232</c:v>
                </c:pt>
              </c:numCache>
            </c:numRef>
          </c:val>
          <c:smooth val="0"/>
        </c:ser>
        <c:ser>
          <c:idx val="1"/>
          <c:order val="1"/>
          <c:tx>
            <c:v>Average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[0]!JAREN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[0]!NCWAC</c:f>
              <c:numCache>
                <c:formatCode>"€"#,##0_);[Red]\("€"#,##0\)</c:formatCode>
                <c:ptCount val="16"/>
                <c:pt idx="0">
                  <c:v>-10000</c:v>
                </c:pt>
                <c:pt idx="1">
                  <c:v>-6618.3574879227053</c:v>
                </c:pt>
                <c:pt idx="2">
                  <c:v>-3351.0700366402943</c:v>
                </c:pt>
                <c:pt idx="3">
                  <c:v>-194.2705668022154</c:v>
                </c:pt>
                <c:pt idx="4">
                  <c:v>2855.7772301427885</c:v>
                </c:pt>
                <c:pt idx="5">
                  <c:v>5802.6833141476236</c:v>
                </c:pt>
                <c:pt idx="6">
                  <c:v>8243.1852470708836</c:v>
                </c:pt>
                <c:pt idx="7">
                  <c:v>10601.158129122341</c:v>
                </c:pt>
                <c:pt idx="8">
                  <c:v>12879.392797771092</c:v>
                </c:pt>
                <c:pt idx="9">
                  <c:v>15080.585714339933</c:v>
                </c:pt>
                <c:pt idx="10">
                  <c:v>17207.34215546925</c:v>
                </c:pt>
                <c:pt idx="11">
                  <c:v>19262.179296656996</c:v>
                </c:pt>
                <c:pt idx="12">
                  <c:v>21247.529191524383</c:v>
                </c:pt>
                <c:pt idx="13">
                  <c:v>23165.741650333453</c:v>
                </c:pt>
                <c:pt idx="14">
                  <c:v>25019.087021163468</c:v>
                </c:pt>
                <c:pt idx="15">
                  <c:v>26809.758877037886</c:v>
                </c:pt>
              </c:numCache>
            </c:numRef>
          </c:val>
          <c:smooth val="0"/>
        </c:ser>
        <c:ser>
          <c:idx val="2"/>
          <c:order val="2"/>
          <c:tx>
            <c:v>Worst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[0]!JAREN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[0]!NCWWC</c:f>
              <c:numCache>
                <c:formatCode>"€"#,##0_);[Red]\("€"#,##0\)</c:formatCode>
                <c:ptCount val="16"/>
                <c:pt idx="0">
                  <c:v>-10000</c:v>
                </c:pt>
                <c:pt idx="1">
                  <c:v>-6666.666666666667</c:v>
                </c:pt>
                <c:pt idx="2">
                  <c:v>-3492.063492063493</c:v>
                </c:pt>
                <c:pt idx="3">
                  <c:v>-468.63189720332775</c:v>
                </c:pt>
                <c:pt idx="4">
                  <c:v>2410.8267645682608</c:v>
                </c:pt>
                <c:pt idx="5">
                  <c:v>5153.1683472078676</c:v>
                </c:pt>
                <c:pt idx="6">
                  <c:v>7391.8145371177488</c:v>
                </c:pt>
                <c:pt idx="7">
                  <c:v>9523.8585275081132</c:v>
                </c:pt>
                <c:pt idx="8">
                  <c:v>11554.376613594173</c:v>
                </c:pt>
                <c:pt idx="9">
                  <c:v>13488.203362247565</c:v>
                </c:pt>
                <c:pt idx="10">
                  <c:v>15329.943122869841</c:v>
                </c:pt>
                <c:pt idx="11">
                  <c:v>17083.980990129152</c:v>
                </c:pt>
                <c:pt idx="12">
                  <c:v>18754.49324466183</c:v>
                </c:pt>
                <c:pt idx="13">
                  <c:v>20345.457296597713</c:v>
                </c:pt>
                <c:pt idx="14">
                  <c:v>21860.661155584265</c:v>
                </c:pt>
                <c:pt idx="15">
                  <c:v>23303.712449857172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420384"/>
        <c:axId val="330421168"/>
      </c:lineChart>
      <c:catAx>
        <c:axId val="33042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Jaar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0421168"/>
        <c:crosses val="autoZero"/>
        <c:auto val="1"/>
        <c:lblAlgn val="ctr"/>
        <c:lblOffset val="100"/>
        <c:noMultiLvlLbl val="0"/>
      </c:catAx>
      <c:valAx>
        <c:axId val="33042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NCW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0420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68140</xdr:colOff>
      <xdr:row>4</xdr:row>
      <xdr:rowOff>183173</xdr:rowOff>
    </xdr:from>
    <xdr:to>
      <xdr:col>11</xdr:col>
      <xdr:colOff>505558</xdr:colOff>
      <xdr:row>20</xdr:row>
      <xdr:rowOff>194529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75"/>
  <sheetViews>
    <sheetView tabSelected="1" zoomScale="130" zoomScaleNormal="130" workbookViewId="0">
      <selection activeCell="G22" sqref="G22"/>
    </sheetView>
  </sheetViews>
  <sheetFormatPr defaultRowHeight="15" x14ac:dyDescent="0.25"/>
  <cols>
    <col min="1" max="1" width="9.140625" style="4"/>
    <col min="2" max="2" width="30.140625" style="4" bestFit="1" customWidth="1"/>
    <col min="3" max="3" width="18.42578125" style="4" customWidth="1"/>
    <col min="4" max="4" width="16.7109375" style="4" customWidth="1"/>
    <col min="5" max="5" width="16" style="4" customWidth="1"/>
    <col min="6" max="16384" width="9.140625" style="4"/>
  </cols>
  <sheetData>
    <row r="2" spans="2:5" ht="15.75" thickBot="1" x14ac:dyDescent="0.3"/>
    <row r="3" spans="2:5" ht="36" x14ac:dyDescent="0.55000000000000004">
      <c r="B3" s="5" t="s">
        <v>77</v>
      </c>
      <c r="C3" s="6"/>
      <c r="D3" s="6"/>
      <c r="E3" s="7"/>
    </row>
    <row r="4" spans="2:5" s="8" customFormat="1" ht="21" x14ac:dyDescent="0.35">
      <c r="B4" s="42" t="s">
        <v>78</v>
      </c>
      <c r="C4" s="43"/>
      <c r="D4" s="43"/>
      <c r="E4" s="44"/>
    </row>
    <row r="5" spans="2:5" ht="15.75" thickBot="1" x14ac:dyDescent="0.3">
      <c r="B5" s="9"/>
      <c r="C5" s="10"/>
      <c r="D5" s="10"/>
      <c r="E5" s="11"/>
    </row>
    <row r="6" spans="2:5" x14ac:dyDescent="0.25">
      <c r="B6" s="12" t="s">
        <v>73</v>
      </c>
      <c r="C6" s="13" t="s">
        <v>3</v>
      </c>
      <c r="D6" s="13" t="s">
        <v>2</v>
      </c>
      <c r="E6" s="14" t="s">
        <v>1</v>
      </c>
    </row>
    <row r="7" spans="2:5" x14ac:dyDescent="0.25">
      <c r="B7" s="15" t="s">
        <v>0</v>
      </c>
      <c r="C7" s="38">
        <v>10000</v>
      </c>
      <c r="D7" s="38">
        <v>10000</v>
      </c>
      <c r="E7" s="39">
        <v>10000</v>
      </c>
    </row>
    <row r="8" spans="2:5" x14ac:dyDescent="0.25">
      <c r="B8" s="15" t="s">
        <v>79</v>
      </c>
      <c r="C8" s="38">
        <v>3000</v>
      </c>
      <c r="D8" s="38">
        <v>3000</v>
      </c>
      <c r="E8" s="39">
        <v>3000</v>
      </c>
    </row>
    <row r="9" spans="2:5" x14ac:dyDescent="0.25">
      <c r="B9" s="15" t="s">
        <v>80</v>
      </c>
      <c r="C9" s="38">
        <v>1000</v>
      </c>
      <c r="D9" s="38">
        <v>1000</v>
      </c>
      <c r="E9" s="39">
        <v>1000</v>
      </c>
    </row>
    <row r="10" spans="2:5" x14ac:dyDescent="0.25">
      <c r="B10" s="15" t="s">
        <v>4</v>
      </c>
      <c r="C10" s="26">
        <v>0</v>
      </c>
      <c r="D10" s="26">
        <v>0</v>
      </c>
      <c r="E10" s="27">
        <v>0</v>
      </c>
    </row>
    <row r="11" spans="2:5" x14ac:dyDescent="0.25">
      <c r="B11" s="15" t="s">
        <v>5</v>
      </c>
      <c r="C11" s="24">
        <v>5</v>
      </c>
      <c r="D11" s="24">
        <v>5</v>
      </c>
      <c r="E11" s="25">
        <v>5</v>
      </c>
    </row>
    <row r="12" spans="2:5" x14ac:dyDescent="0.25">
      <c r="B12" s="15" t="s">
        <v>81</v>
      </c>
      <c r="C12" s="33">
        <v>0.06</v>
      </c>
      <c r="D12" s="33">
        <v>0.04</v>
      </c>
      <c r="E12" s="34">
        <v>0.02</v>
      </c>
    </row>
    <row r="13" spans="2:5" x14ac:dyDescent="0.25">
      <c r="B13" s="15" t="s">
        <v>6</v>
      </c>
      <c r="C13" s="33">
        <v>0.02</v>
      </c>
      <c r="D13" s="33">
        <v>0.02</v>
      </c>
      <c r="E13" s="34">
        <v>0.02</v>
      </c>
    </row>
    <row r="14" spans="2:5" x14ac:dyDescent="0.25">
      <c r="B14" s="15" t="s">
        <v>7</v>
      </c>
      <c r="C14" s="26">
        <v>0.25</v>
      </c>
      <c r="D14" s="26">
        <v>0.25</v>
      </c>
      <c r="E14" s="27">
        <v>0.25</v>
      </c>
    </row>
    <row r="15" spans="2:5" x14ac:dyDescent="0.25">
      <c r="B15" s="15" t="s">
        <v>8</v>
      </c>
      <c r="C15" s="26">
        <v>7.0000000000000007E-2</v>
      </c>
      <c r="D15" s="26">
        <v>7.0000000000000007E-2</v>
      </c>
      <c r="E15" s="27">
        <v>7.0000000000000007E-2</v>
      </c>
    </row>
    <row r="16" spans="2:5" x14ac:dyDescent="0.25">
      <c r="B16" s="15" t="s">
        <v>9</v>
      </c>
      <c r="C16" s="24">
        <v>15</v>
      </c>
      <c r="D16" s="32">
        <f>C16</f>
        <v>15</v>
      </c>
      <c r="E16" s="32">
        <f>C16</f>
        <v>15</v>
      </c>
    </row>
    <row r="17" spans="2:9" ht="15.75" thickBot="1" x14ac:dyDescent="0.3">
      <c r="B17" s="15" t="s">
        <v>10</v>
      </c>
      <c r="C17" s="24">
        <v>0</v>
      </c>
      <c r="D17" s="24">
        <v>0</v>
      </c>
      <c r="E17" s="25">
        <v>0</v>
      </c>
    </row>
    <row r="18" spans="2:9" x14ac:dyDescent="0.25">
      <c r="B18" s="12" t="s">
        <v>74</v>
      </c>
      <c r="C18" s="13" t="s">
        <v>3</v>
      </c>
      <c r="D18" s="13" t="s">
        <v>2</v>
      </c>
      <c r="E18" s="14" t="s">
        <v>1</v>
      </c>
    </row>
    <row r="19" spans="2:9" x14ac:dyDescent="0.25">
      <c r="B19" s="15" t="s">
        <v>68</v>
      </c>
      <c r="C19" s="16">
        <f>VLOOKUP(C16,'Best case'!A3:H53,8)</f>
        <v>30904.520255974232</v>
      </c>
      <c r="D19" s="16">
        <f>VLOOKUP(D16,'Average case'!A3:H53,8)</f>
        <v>26809.758877037886</v>
      </c>
      <c r="E19" s="17">
        <f>VLOOKUP(E16,'Worst case'!A3:H53,8)</f>
        <v>23303.712449857172</v>
      </c>
    </row>
    <row r="20" spans="2:9" x14ac:dyDescent="0.25">
      <c r="B20" s="15" t="s">
        <v>69</v>
      </c>
      <c r="C20" s="18">
        <f>IRR('Best case'!G3:G53)-C13</f>
        <v>0.31420340253760415</v>
      </c>
      <c r="D20" s="18">
        <f>IRR('Average case'!G3:G53)-D13</f>
        <v>0.31420340253760415</v>
      </c>
      <c r="E20" s="19">
        <f>IRR('Worst case'!G3:G53)-E13</f>
        <v>0.31420340253760415</v>
      </c>
    </row>
    <row r="21" spans="2:9" ht="15.75" thickBot="1" x14ac:dyDescent="0.3">
      <c r="B21" s="9" t="s">
        <v>70</v>
      </c>
      <c r="C21" s="20">
        <f>IF('Best case'!I1=0,"n.v.t.",'Best case'!I1)</f>
        <v>2.9716228571428571</v>
      </c>
      <c r="D21" s="20">
        <f>IF('Average case'!I1=0,"n.v.t.",'Average case'!I1)</f>
        <v>3.0636942696428564</v>
      </c>
      <c r="E21" s="35">
        <f>IF('Worst case'!I1=0,"n.v.t.",'Worst case'!I1)</f>
        <v>3.1627500000000004</v>
      </c>
    </row>
    <row r="23" spans="2:9" ht="15.75" thickBot="1" x14ac:dyDescent="0.3">
      <c r="G23" s="36"/>
      <c r="I23" s="36"/>
    </row>
    <row r="24" spans="2:9" x14ac:dyDescent="0.25">
      <c r="B24" s="12" t="s">
        <v>16</v>
      </c>
      <c r="C24" s="13" t="s">
        <v>3</v>
      </c>
      <c r="D24" s="13" t="s">
        <v>2</v>
      </c>
      <c r="E24" s="21" t="s">
        <v>1</v>
      </c>
    </row>
    <row r="25" spans="2:9" x14ac:dyDescent="0.25">
      <c r="B25" s="15" t="s">
        <v>17</v>
      </c>
      <c r="C25" s="24"/>
      <c r="D25" s="28"/>
      <c r="E25" s="25"/>
    </row>
    <row r="26" spans="2:9" x14ac:dyDescent="0.25">
      <c r="B26" s="15" t="s">
        <v>18</v>
      </c>
      <c r="C26" s="24"/>
      <c r="D26" s="28"/>
      <c r="E26" s="25"/>
    </row>
    <row r="27" spans="2:9" x14ac:dyDescent="0.25">
      <c r="B27" s="22" t="s">
        <v>19</v>
      </c>
      <c r="C27" s="24"/>
      <c r="D27" s="24"/>
      <c r="E27" s="29"/>
    </row>
    <row r="28" spans="2:9" x14ac:dyDescent="0.25">
      <c r="B28" s="22" t="s">
        <v>20</v>
      </c>
      <c r="C28" s="24"/>
      <c r="D28" s="24"/>
      <c r="E28" s="29"/>
    </row>
    <row r="29" spans="2:9" x14ac:dyDescent="0.25">
      <c r="B29" s="22" t="s">
        <v>21</v>
      </c>
      <c r="C29" s="24"/>
      <c r="D29" s="24"/>
      <c r="E29" s="29"/>
    </row>
    <row r="30" spans="2:9" x14ac:dyDescent="0.25">
      <c r="B30" s="22" t="s">
        <v>22</v>
      </c>
      <c r="C30" s="24"/>
      <c r="D30" s="24"/>
      <c r="E30" s="29"/>
    </row>
    <row r="31" spans="2:9" x14ac:dyDescent="0.25">
      <c r="B31" s="22" t="s">
        <v>23</v>
      </c>
      <c r="C31" s="24"/>
      <c r="D31" s="24"/>
      <c r="E31" s="29"/>
    </row>
    <row r="32" spans="2:9" x14ac:dyDescent="0.25">
      <c r="B32" s="22" t="s">
        <v>24</v>
      </c>
      <c r="C32" s="24"/>
      <c r="D32" s="24"/>
      <c r="E32" s="29"/>
    </row>
    <row r="33" spans="2:5" x14ac:dyDescent="0.25">
      <c r="B33" s="22" t="s">
        <v>25</v>
      </c>
      <c r="C33" s="24"/>
      <c r="D33" s="24"/>
      <c r="E33" s="29"/>
    </row>
    <row r="34" spans="2:5" x14ac:dyDescent="0.25">
      <c r="B34" s="22" t="s">
        <v>26</v>
      </c>
      <c r="C34" s="24"/>
      <c r="D34" s="24"/>
      <c r="E34" s="29"/>
    </row>
    <row r="35" spans="2:5" x14ac:dyDescent="0.25">
      <c r="B35" s="22" t="s">
        <v>27</v>
      </c>
      <c r="C35" s="24"/>
      <c r="D35" s="24"/>
      <c r="E35" s="29"/>
    </row>
    <row r="36" spans="2:5" x14ac:dyDescent="0.25">
      <c r="B36" s="22" t="s">
        <v>28</v>
      </c>
      <c r="C36" s="24"/>
      <c r="D36" s="24"/>
      <c r="E36" s="29"/>
    </row>
    <row r="37" spans="2:5" x14ac:dyDescent="0.25">
      <c r="B37" s="22" t="s">
        <v>29</v>
      </c>
      <c r="C37" s="24"/>
      <c r="D37" s="24"/>
      <c r="E37" s="29"/>
    </row>
    <row r="38" spans="2:5" x14ac:dyDescent="0.25">
      <c r="B38" s="22" t="s">
        <v>30</v>
      </c>
      <c r="C38" s="24"/>
      <c r="D38" s="24"/>
      <c r="E38" s="29"/>
    </row>
    <row r="39" spans="2:5" x14ac:dyDescent="0.25">
      <c r="B39" s="22" t="s">
        <v>31</v>
      </c>
      <c r="C39" s="24"/>
      <c r="D39" s="24"/>
      <c r="E39" s="29"/>
    </row>
    <row r="40" spans="2:5" x14ac:dyDescent="0.25">
      <c r="B40" s="22" t="s">
        <v>32</v>
      </c>
      <c r="C40" s="24"/>
      <c r="D40" s="24"/>
      <c r="E40" s="29"/>
    </row>
    <row r="41" spans="2:5" x14ac:dyDescent="0.25">
      <c r="B41" s="22" t="s">
        <v>33</v>
      </c>
      <c r="C41" s="24"/>
      <c r="D41" s="24"/>
      <c r="E41" s="29"/>
    </row>
    <row r="42" spans="2:5" x14ac:dyDescent="0.25">
      <c r="B42" s="22" t="s">
        <v>34</v>
      </c>
      <c r="C42" s="24"/>
      <c r="D42" s="24"/>
      <c r="E42" s="29"/>
    </row>
    <row r="43" spans="2:5" x14ac:dyDescent="0.25">
      <c r="B43" s="22" t="s">
        <v>35</v>
      </c>
      <c r="C43" s="24"/>
      <c r="D43" s="24"/>
      <c r="E43" s="29"/>
    </row>
    <row r="44" spans="2:5" x14ac:dyDescent="0.25">
      <c r="B44" s="22" t="s">
        <v>36</v>
      </c>
      <c r="C44" s="24"/>
      <c r="D44" s="24"/>
      <c r="E44" s="29"/>
    </row>
    <row r="45" spans="2:5" x14ac:dyDescent="0.25">
      <c r="B45" s="22" t="s">
        <v>37</v>
      </c>
      <c r="C45" s="24"/>
      <c r="D45" s="24"/>
      <c r="E45" s="29"/>
    </row>
    <row r="46" spans="2:5" x14ac:dyDescent="0.25">
      <c r="B46" s="22" t="s">
        <v>38</v>
      </c>
      <c r="C46" s="24"/>
      <c r="D46" s="24"/>
      <c r="E46" s="29"/>
    </row>
    <row r="47" spans="2:5" x14ac:dyDescent="0.25">
      <c r="B47" s="22" t="s">
        <v>39</v>
      </c>
      <c r="C47" s="24"/>
      <c r="D47" s="24"/>
      <c r="E47" s="29"/>
    </row>
    <row r="48" spans="2:5" x14ac:dyDescent="0.25">
      <c r="B48" s="22" t="s">
        <v>40</v>
      </c>
      <c r="C48" s="24"/>
      <c r="D48" s="24"/>
      <c r="E48" s="29"/>
    </row>
    <row r="49" spans="2:5" x14ac:dyDescent="0.25">
      <c r="B49" s="22" t="s">
        <v>41</v>
      </c>
      <c r="C49" s="24"/>
      <c r="D49" s="24"/>
      <c r="E49" s="29"/>
    </row>
    <row r="50" spans="2:5" x14ac:dyDescent="0.25">
      <c r="B50" s="22" t="s">
        <v>42</v>
      </c>
      <c r="C50" s="24"/>
      <c r="D50" s="24"/>
      <c r="E50" s="29"/>
    </row>
    <row r="51" spans="2:5" x14ac:dyDescent="0.25">
      <c r="B51" s="22" t="s">
        <v>43</v>
      </c>
      <c r="C51" s="24"/>
      <c r="D51" s="24"/>
      <c r="E51" s="29"/>
    </row>
    <row r="52" spans="2:5" x14ac:dyDescent="0.25">
      <c r="B52" s="22" t="s">
        <v>44</v>
      </c>
      <c r="C52" s="24"/>
      <c r="D52" s="24"/>
      <c r="E52" s="29"/>
    </row>
    <row r="53" spans="2:5" x14ac:dyDescent="0.25">
      <c r="B53" s="22" t="s">
        <v>45</v>
      </c>
      <c r="C53" s="24"/>
      <c r="D53" s="24"/>
      <c r="E53" s="29"/>
    </row>
    <row r="54" spans="2:5" x14ac:dyDescent="0.25">
      <c r="B54" s="22" t="s">
        <v>46</v>
      </c>
      <c r="C54" s="24"/>
      <c r="D54" s="24"/>
      <c r="E54" s="29"/>
    </row>
    <row r="55" spans="2:5" x14ac:dyDescent="0.25">
      <c r="B55" s="22" t="s">
        <v>47</v>
      </c>
      <c r="C55" s="24"/>
      <c r="D55" s="24"/>
      <c r="E55" s="29"/>
    </row>
    <row r="56" spans="2:5" x14ac:dyDescent="0.25">
      <c r="B56" s="22" t="s">
        <v>48</v>
      </c>
      <c r="C56" s="24"/>
      <c r="D56" s="24"/>
      <c r="E56" s="29"/>
    </row>
    <row r="57" spans="2:5" x14ac:dyDescent="0.25">
      <c r="B57" s="22" t="s">
        <v>49</v>
      </c>
      <c r="C57" s="24"/>
      <c r="D57" s="24"/>
      <c r="E57" s="29"/>
    </row>
    <row r="58" spans="2:5" x14ac:dyDescent="0.25">
      <c r="B58" s="22" t="s">
        <v>50</v>
      </c>
      <c r="C58" s="24"/>
      <c r="D58" s="24"/>
      <c r="E58" s="29"/>
    </row>
    <row r="59" spans="2:5" x14ac:dyDescent="0.25">
      <c r="B59" s="22" t="s">
        <v>51</v>
      </c>
      <c r="C59" s="24"/>
      <c r="D59" s="24"/>
      <c r="E59" s="29"/>
    </row>
    <row r="60" spans="2:5" x14ac:dyDescent="0.25">
      <c r="B60" s="22" t="s">
        <v>52</v>
      </c>
      <c r="C60" s="24"/>
      <c r="D60" s="24"/>
      <c r="E60" s="29"/>
    </row>
    <row r="61" spans="2:5" x14ac:dyDescent="0.25">
      <c r="B61" s="22" t="s">
        <v>53</v>
      </c>
      <c r="C61" s="24"/>
      <c r="D61" s="24"/>
      <c r="E61" s="29"/>
    </row>
    <row r="62" spans="2:5" x14ac:dyDescent="0.25">
      <c r="B62" s="22" t="s">
        <v>54</v>
      </c>
      <c r="C62" s="24"/>
      <c r="D62" s="24"/>
      <c r="E62" s="29"/>
    </row>
    <row r="63" spans="2:5" x14ac:dyDescent="0.25">
      <c r="B63" s="22" t="s">
        <v>55</v>
      </c>
      <c r="C63" s="24"/>
      <c r="D63" s="24"/>
      <c r="E63" s="29"/>
    </row>
    <row r="64" spans="2:5" x14ac:dyDescent="0.25">
      <c r="B64" s="22" t="s">
        <v>56</v>
      </c>
      <c r="C64" s="24"/>
      <c r="D64" s="24"/>
      <c r="E64" s="29"/>
    </row>
    <row r="65" spans="2:5" x14ac:dyDescent="0.25">
      <c r="B65" s="22" t="s">
        <v>57</v>
      </c>
      <c r="C65" s="24"/>
      <c r="D65" s="24"/>
      <c r="E65" s="29"/>
    </row>
    <row r="66" spans="2:5" x14ac:dyDescent="0.25">
      <c r="B66" s="22" t="s">
        <v>58</v>
      </c>
      <c r="C66" s="24"/>
      <c r="D66" s="24"/>
      <c r="E66" s="29"/>
    </row>
    <row r="67" spans="2:5" x14ac:dyDescent="0.25">
      <c r="B67" s="22" t="s">
        <v>59</v>
      </c>
      <c r="C67" s="24"/>
      <c r="D67" s="24"/>
      <c r="E67" s="29"/>
    </row>
    <row r="68" spans="2:5" x14ac:dyDescent="0.25">
      <c r="B68" s="22" t="s">
        <v>60</v>
      </c>
      <c r="C68" s="24"/>
      <c r="D68" s="24"/>
      <c r="E68" s="29"/>
    </row>
    <row r="69" spans="2:5" x14ac:dyDescent="0.25">
      <c r="B69" s="22" t="s">
        <v>61</v>
      </c>
      <c r="C69" s="24"/>
      <c r="D69" s="24"/>
      <c r="E69" s="29"/>
    </row>
    <row r="70" spans="2:5" x14ac:dyDescent="0.25">
      <c r="B70" s="22" t="s">
        <v>62</v>
      </c>
      <c r="C70" s="24"/>
      <c r="D70" s="24"/>
      <c r="E70" s="29"/>
    </row>
    <row r="71" spans="2:5" x14ac:dyDescent="0.25">
      <c r="B71" s="22" t="s">
        <v>63</v>
      </c>
      <c r="C71" s="24"/>
      <c r="D71" s="24"/>
      <c r="E71" s="29"/>
    </row>
    <row r="72" spans="2:5" x14ac:dyDescent="0.25">
      <c r="B72" s="22" t="s">
        <v>64</v>
      </c>
      <c r="C72" s="24"/>
      <c r="D72" s="24"/>
      <c r="E72" s="29"/>
    </row>
    <row r="73" spans="2:5" x14ac:dyDescent="0.25">
      <c r="B73" s="22" t="s">
        <v>65</v>
      </c>
      <c r="C73" s="24"/>
      <c r="D73" s="24"/>
      <c r="E73" s="29"/>
    </row>
    <row r="74" spans="2:5" x14ac:dyDescent="0.25">
      <c r="B74" s="22" t="s">
        <v>66</v>
      </c>
      <c r="C74" s="24"/>
      <c r="D74" s="24"/>
      <c r="E74" s="29"/>
    </row>
    <row r="75" spans="2:5" ht="15.75" thickBot="1" x14ac:dyDescent="0.3">
      <c r="B75" s="23" t="s">
        <v>67</v>
      </c>
      <c r="C75" s="30"/>
      <c r="D75" s="30"/>
      <c r="E75" s="31"/>
    </row>
  </sheetData>
  <mergeCells count="1">
    <mergeCell ref="B4:E4"/>
  </mergeCells>
  <pageMargins left="0.7" right="0.7" top="0.75" bottom="0.75" header="0.3" footer="0.3"/>
  <pageSetup paperSize="9" scale="8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B3" sqref="B3"/>
    </sheetView>
  </sheetViews>
  <sheetFormatPr defaultRowHeight="15" x14ac:dyDescent="0.25"/>
  <cols>
    <col min="2" max="2" width="11" bestFit="1" customWidth="1"/>
    <col min="4" max="4" width="10.28515625" bestFit="1" customWidth="1"/>
    <col min="8" max="8" width="12.140625" bestFit="1" customWidth="1"/>
  </cols>
  <sheetData>
    <row r="1" spans="1:12" x14ac:dyDescent="0.25">
      <c r="B1">
        <f>Blad1!C14*Blad1!C10*Blad1!C7</f>
        <v>0</v>
      </c>
      <c r="C1">
        <f>Blad1!C7/Blad1!C11*Blad1!C14</f>
        <v>500</v>
      </c>
      <c r="D1" s="3">
        <f>(1-Blad1!C14)*(Blad1!C9+Blad1!C8)</f>
        <v>3000</v>
      </c>
      <c r="H1" s="1">
        <f>Blad1!C15-(Blad1!C13*Blad1!C9+Blad1!C8*Blad1!C12)/(Blad1!C8+Blad1!C9)</f>
        <v>2.0000000000000004E-2</v>
      </c>
      <c r="I1" s="2">
        <f>SUM(I3:I53)</f>
        <v>2.9716228571428571</v>
      </c>
    </row>
    <row r="2" spans="1:12" x14ac:dyDescent="0.25">
      <c r="A2" t="s">
        <v>71</v>
      </c>
      <c r="B2" t="s">
        <v>0</v>
      </c>
      <c r="C2" t="s">
        <v>11</v>
      </c>
      <c r="D2" t="s">
        <v>12</v>
      </c>
      <c r="E2" t="s">
        <v>14</v>
      </c>
      <c r="F2" t="s">
        <v>13</v>
      </c>
      <c r="G2" t="s">
        <v>72</v>
      </c>
      <c r="H2" t="s">
        <v>15</v>
      </c>
      <c r="I2" t="s">
        <v>75</v>
      </c>
    </row>
    <row r="3" spans="1:12" x14ac:dyDescent="0.25">
      <c r="A3">
        <v>0</v>
      </c>
      <c r="B3">
        <f>-1*Blad1!C7</f>
        <v>-10000</v>
      </c>
      <c r="E3">
        <f>Blad1!C25</f>
        <v>0</v>
      </c>
      <c r="F3">
        <f>SUM(B3:E3)</f>
        <v>-10000</v>
      </c>
      <c r="G3">
        <f>IF(A3&lt;=Blad1!$C$16,SUM(B3:E3),0)</f>
        <v>-10000</v>
      </c>
      <c r="H3" s="3">
        <f>F3</f>
        <v>-10000</v>
      </c>
      <c r="I3" s="2">
        <f t="shared" ref="I3:I53" si="0">IF(AND(H3&lt;0,H4&gt;=0),A3+-1*H3/(H4-H3),0)</f>
        <v>0</v>
      </c>
      <c r="L3">
        <f>Blad1!C15+(Blad1!C13*Blad1!C9+Blad1!C8*Blad1!C12)/(Blad1!C8+Blad1!C9)</f>
        <v>0.12000000000000001</v>
      </c>
    </row>
    <row r="4" spans="1:12" x14ac:dyDescent="0.25">
      <c r="A4">
        <v>1</v>
      </c>
      <c r="B4">
        <f>B1</f>
        <v>0</v>
      </c>
      <c r="C4">
        <f>IF(A4&lt;=Blad1!$C$11,'Best case'!$C$1,0)</f>
        <v>500</v>
      </c>
      <c r="D4">
        <f>$D$1</f>
        <v>3000</v>
      </c>
      <c r="E4">
        <f>Blad1!C26</f>
        <v>0</v>
      </c>
      <c r="F4">
        <f t="shared" ref="F4:F53" si="1">SUM(B4:E4)</f>
        <v>3500</v>
      </c>
      <c r="G4">
        <f>IF(A4&lt;=Blad1!$C$16,SUM(B4:E4),0)</f>
        <v>3500</v>
      </c>
      <c r="H4" s="3">
        <f>$H$3+NPV($H$1,F4)</f>
        <v>-6568.6274509803916</v>
      </c>
      <c r="I4" s="2">
        <f t="shared" si="0"/>
        <v>0</v>
      </c>
    </row>
    <row r="5" spans="1:12" x14ac:dyDescent="0.25">
      <c r="A5">
        <v>2</v>
      </c>
      <c r="B5">
        <f>IF('Best case'!A5=Blad1!$C$16,Blad1!$C$17,0)</f>
        <v>0</v>
      </c>
      <c r="C5">
        <f>IF(A5&lt;=Blad1!$C$11,'Best case'!$C$1,0)</f>
        <v>500</v>
      </c>
      <c r="D5">
        <f t="shared" ref="D5:D53" si="2">$D$1</f>
        <v>3000</v>
      </c>
      <c r="E5">
        <f>Blad1!C27</f>
        <v>0</v>
      </c>
      <c r="F5">
        <f t="shared" si="1"/>
        <v>3500</v>
      </c>
      <c r="G5">
        <f>IF(A5&lt;=Blad1!$C$16,SUM(B5:E5),0)</f>
        <v>3500</v>
      </c>
      <c r="H5" s="3">
        <f>$H$3+NPV($H$1,$F$4:F5)</f>
        <v>-3204.5367166474425</v>
      </c>
      <c r="I5" s="2">
        <f t="shared" si="0"/>
        <v>2.9716228571428571</v>
      </c>
    </row>
    <row r="6" spans="1:12" x14ac:dyDescent="0.25">
      <c r="A6">
        <v>3</v>
      </c>
      <c r="B6">
        <f>IF('Best case'!A6=Blad1!$C$16,Blad1!$C$17,0)</f>
        <v>0</v>
      </c>
      <c r="C6">
        <f>IF(A6&lt;=Blad1!$C$11,'Best case'!$C$1,0)</f>
        <v>500</v>
      </c>
      <c r="D6">
        <f t="shared" si="2"/>
        <v>3000</v>
      </c>
      <c r="E6">
        <f>Blad1!C28</f>
        <v>0</v>
      </c>
      <c r="F6">
        <f t="shared" si="1"/>
        <v>3500</v>
      </c>
      <c r="G6">
        <f>IF(A6&lt;=Blad1!$C$16,SUM(B6:E6),0)</f>
        <v>3500</v>
      </c>
      <c r="H6" s="3">
        <f>$H$3+NPV($H$1,$F$4:F6)</f>
        <v>93.591454267212612</v>
      </c>
      <c r="I6" s="2">
        <f t="shared" si="0"/>
        <v>0</v>
      </c>
    </row>
    <row r="7" spans="1:12" x14ac:dyDescent="0.25">
      <c r="A7">
        <v>4</v>
      </c>
      <c r="B7">
        <f>IF('Best case'!A7=Blad1!$C$16,Blad1!$C$17,0)</f>
        <v>0</v>
      </c>
      <c r="C7">
        <f>IF(A7&lt;=Blad1!$C$11,'Best case'!$C$1,0)</f>
        <v>500</v>
      </c>
      <c r="D7">
        <f t="shared" si="2"/>
        <v>3000</v>
      </c>
      <c r="E7">
        <f>Blad1!C29</f>
        <v>0</v>
      </c>
      <c r="F7">
        <f t="shared" si="1"/>
        <v>3500</v>
      </c>
      <c r="G7">
        <f>IF(A7&lt;=Blad1!$C$16,SUM(B7:E7),0)</f>
        <v>3500</v>
      </c>
      <c r="H7" s="3">
        <f>$H$3+NPV($H$1,$F$4:F7)</f>
        <v>3327.0504453600133</v>
      </c>
      <c r="I7" s="2">
        <f>IF(AND(H7&lt;0,H8&gt;=0),A7+-1*H7/(H8-H7),0)</f>
        <v>0</v>
      </c>
    </row>
    <row r="8" spans="1:12" x14ac:dyDescent="0.25">
      <c r="A8">
        <v>5</v>
      </c>
      <c r="B8">
        <f>IF('Best case'!A8=Blad1!$C$16,Blad1!$C$17,0)</f>
        <v>0</v>
      </c>
      <c r="C8">
        <f>IF(A8&lt;=Blad1!$C$11,'Best case'!$C$1,0)</f>
        <v>500</v>
      </c>
      <c r="D8">
        <f t="shared" si="2"/>
        <v>3000</v>
      </c>
      <c r="E8">
        <f>Blad1!C30</f>
        <v>0</v>
      </c>
      <c r="F8">
        <f t="shared" si="1"/>
        <v>3500</v>
      </c>
      <c r="G8">
        <f>IF(A8&lt;=Blad1!$C$16,SUM(B8:E8),0)</f>
        <v>3500</v>
      </c>
      <c r="H8" s="3">
        <f>$H$3+NPV($H$1,$F$4:F8)</f>
        <v>6497.1082797647214</v>
      </c>
      <c r="I8" s="2">
        <f t="shared" si="0"/>
        <v>0</v>
      </c>
    </row>
    <row r="9" spans="1:12" x14ac:dyDescent="0.25">
      <c r="A9">
        <v>6</v>
      </c>
      <c r="B9">
        <f>IF('Best case'!A9=Blad1!$C$16,Blad1!$C$17,0)</f>
        <v>0</v>
      </c>
      <c r="C9">
        <f>IF(A9&lt;=Blad1!$C$11,'Best case'!$C$1,0)</f>
        <v>0</v>
      </c>
      <c r="D9">
        <f t="shared" si="2"/>
        <v>3000</v>
      </c>
      <c r="E9">
        <f>Blad1!C31</f>
        <v>0</v>
      </c>
      <c r="F9">
        <f t="shared" si="1"/>
        <v>3000</v>
      </c>
      <c r="G9">
        <f>IF(A9&lt;=Blad1!$C$16,SUM(B9:E9),0)</f>
        <v>3000</v>
      </c>
      <c r="H9" s="3">
        <f>$H$3+NPV($H$1,$F$4:F9)</f>
        <v>9161.0224263232958</v>
      </c>
      <c r="I9" s="2">
        <f t="shared" si="0"/>
        <v>0</v>
      </c>
    </row>
    <row r="10" spans="1:12" x14ac:dyDescent="0.25">
      <c r="A10">
        <v>7</v>
      </c>
      <c r="B10">
        <f>IF('Best case'!A10=Blad1!$C$16,Blad1!$C$17,0)</f>
        <v>0</v>
      </c>
      <c r="C10">
        <f>IF(A10&lt;=Blad1!$C$11,'Best case'!$C$1,0)</f>
        <v>0</v>
      </c>
      <c r="D10">
        <f t="shared" si="2"/>
        <v>3000</v>
      </c>
      <c r="E10">
        <f>Blad1!C32</f>
        <v>0</v>
      </c>
      <c r="F10">
        <f t="shared" si="1"/>
        <v>3000</v>
      </c>
      <c r="G10">
        <f>IF(A10&lt;=Blad1!$C$16,SUM(B10:E10),0)</f>
        <v>3000</v>
      </c>
      <c r="H10" s="3">
        <f>$H$3+NPV($H$1,$F$4:F10)</f>
        <v>11772.702962165036</v>
      </c>
      <c r="I10" s="2">
        <f t="shared" si="0"/>
        <v>0</v>
      </c>
    </row>
    <row r="11" spans="1:12" x14ac:dyDescent="0.25">
      <c r="A11">
        <v>8</v>
      </c>
      <c r="B11">
        <f>IF('Best case'!A11=Blad1!$C$16,Blad1!$C$17,0)</f>
        <v>0</v>
      </c>
      <c r="C11">
        <f>IF(A11&lt;=Blad1!$C$11,'Best case'!$C$1,0)</f>
        <v>0</v>
      </c>
      <c r="D11">
        <f t="shared" si="2"/>
        <v>3000</v>
      </c>
      <c r="E11">
        <f>Blad1!C33</f>
        <v>0</v>
      </c>
      <c r="F11">
        <f t="shared" si="1"/>
        <v>3000</v>
      </c>
      <c r="G11">
        <f>IF(A11&lt;=Blad1!$C$16,SUM(B11:E11),0)</f>
        <v>3000</v>
      </c>
      <c r="H11" s="3">
        <f>$H$3+NPV($H$1,$F$4:F11)</f>
        <v>14333.174075735369</v>
      </c>
      <c r="I11" s="2">
        <f t="shared" si="0"/>
        <v>0</v>
      </c>
    </row>
    <row r="12" spans="1:12" x14ac:dyDescent="0.25">
      <c r="A12">
        <v>9</v>
      </c>
      <c r="B12">
        <f>IF('Best case'!A12=Blad1!$C$16,Blad1!$C$17,0)</f>
        <v>0</v>
      </c>
      <c r="C12">
        <f>IF(A12&lt;=Blad1!$C$11,'Best case'!$C$1,0)</f>
        <v>0</v>
      </c>
      <c r="D12">
        <f t="shared" si="2"/>
        <v>3000</v>
      </c>
      <c r="E12">
        <f>Blad1!C34</f>
        <v>0</v>
      </c>
      <c r="F12">
        <f t="shared" si="1"/>
        <v>3000</v>
      </c>
      <c r="G12">
        <f>IF(A12&lt;=Blad1!$C$16,SUM(B12:E12),0)</f>
        <v>3000</v>
      </c>
      <c r="H12" s="3">
        <f>$H$3+NPV($H$1,$F$4:F12)</f>
        <v>16843.439873353342</v>
      </c>
      <c r="I12" s="2">
        <f t="shared" si="0"/>
        <v>0</v>
      </c>
    </row>
    <row r="13" spans="1:12" x14ac:dyDescent="0.25">
      <c r="A13">
        <v>10</v>
      </c>
      <c r="B13">
        <f>IF('Best case'!A13=Blad1!$C$16,Blad1!$C$17,0)</f>
        <v>0</v>
      </c>
      <c r="C13">
        <f>IF(A13&lt;=Blad1!$C$11,'Best case'!$C$1,0)</f>
        <v>0</v>
      </c>
      <c r="D13">
        <f t="shared" si="2"/>
        <v>3000</v>
      </c>
      <c r="E13">
        <f>Blad1!C35</f>
        <v>0</v>
      </c>
      <c r="F13">
        <f t="shared" si="1"/>
        <v>3000</v>
      </c>
      <c r="G13">
        <f>IF(A13&lt;=Blad1!$C$16,SUM(B13:E13),0)</f>
        <v>3000</v>
      </c>
      <c r="H13" s="3">
        <f>$H$3+NPV($H$1,$F$4:F13)</f>
        <v>19304.484772978809</v>
      </c>
      <c r="I13" s="2">
        <f t="shared" si="0"/>
        <v>0</v>
      </c>
    </row>
    <row r="14" spans="1:12" x14ac:dyDescent="0.25">
      <c r="A14">
        <v>11</v>
      </c>
      <c r="B14">
        <f>IF('Best case'!A14=Blad1!$C$16,Blad1!$C$17,0)</f>
        <v>0</v>
      </c>
      <c r="C14">
        <f>IF(A14&lt;=Blad1!$C$11,'Best case'!$C$1,0)</f>
        <v>0</v>
      </c>
      <c r="D14">
        <f t="shared" si="2"/>
        <v>3000</v>
      </c>
      <c r="E14">
        <f>Blad1!C36</f>
        <v>0</v>
      </c>
      <c r="F14">
        <f t="shared" si="1"/>
        <v>3000</v>
      </c>
      <c r="G14">
        <f>IF(A14&lt;=Blad1!$C$16,SUM(B14:E14),0)</f>
        <v>3000</v>
      </c>
      <c r="H14" s="3">
        <f>$H$3+NPV($H$1,$F$4:F14)</f>
        <v>21717.273890258679</v>
      </c>
      <c r="I14" s="2">
        <f t="shared" si="0"/>
        <v>0</v>
      </c>
    </row>
    <row r="15" spans="1:12" x14ac:dyDescent="0.25">
      <c r="A15">
        <v>12</v>
      </c>
      <c r="B15">
        <f>IF('Best case'!A15=Blad1!$C$16,Blad1!$C$17,0)</f>
        <v>0</v>
      </c>
      <c r="C15">
        <f>IF(A15&lt;=Blad1!$C$11,'Best case'!$C$1,0)</f>
        <v>0</v>
      </c>
      <c r="D15">
        <f t="shared" si="2"/>
        <v>3000</v>
      </c>
      <c r="E15">
        <f>Blad1!C37</f>
        <v>0</v>
      </c>
      <c r="F15">
        <f t="shared" si="1"/>
        <v>3000</v>
      </c>
      <c r="G15">
        <f>IF(A15&lt;=Blad1!$C$16,SUM(B15:E15),0)</f>
        <v>3000</v>
      </c>
      <c r="H15" s="3">
        <f>$H$3+NPV($H$1,$F$4:F15)</f>
        <v>24082.753417003652</v>
      </c>
      <c r="I15" s="2">
        <f t="shared" si="0"/>
        <v>0</v>
      </c>
    </row>
    <row r="16" spans="1:12" x14ac:dyDescent="0.25">
      <c r="A16">
        <v>13</v>
      </c>
      <c r="B16">
        <f>IF('Best case'!A16=Blad1!$C$16,Blad1!$C$17,0)</f>
        <v>0</v>
      </c>
      <c r="C16">
        <f>IF(A16&lt;=Blad1!$C$11,'Best case'!$C$1,0)</f>
        <v>0</v>
      </c>
      <c r="D16">
        <f t="shared" si="2"/>
        <v>3000</v>
      </c>
      <c r="E16">
        <f>Blad1!C38</f>
        <v>0</v>
      </c>
      <c r="F16">
        <f t="shared" si="1"/>
        <v>3000</v>
      </c>
      <c r="G16">
        <f>IF(A16&lt;=Blad1!$C$16,SUM(B16:E16),0)</f>
        <v>3000</v>
      </c>
      <c r="H16" s="3">
        <f>$H$3+NPV($H$1,$F$4:F16)</f>
        <v>26401.85099224381</v>
      </c>
      <c r="I16" s="2">
        <f t="shared" si="0"/>
        <v>0</v>
      </c>
    </row>
    <row r="17" spans="1:12" x14ac:dyDescent="0.25">
      <c r="A17">
        <v>14</v>
      </c>
      <c r="B17">
        <f>IF('Best case'!A17=Blad1!$C$16,Blad1!$C$17,0)</f>
        <v>0</v>
      </c>
      <c r="C17">
        <f>IF(A17&lt;=Blad1!$C$11,'Best case'!$C$1,0)</f>
        <v>0</v>
      </c>
      <c r="D17">
        <f t="shared" si="2"/>
        <v>3000</v>
      </c>
      <c r="E17">
        <f>Blad1!C39</f>
        <v>0</v>
      </c>
      <c r="F17">
        <f t="shared" si="1"/>
        <v>3000</v>
      </c>
      <c r="G17">
        <f>IF(A17&lt;=Blad1!$C$16,SUM(B17:E17),0)</f>
        <v>3000</v>
      </c>
      <c r="H17" s="3">
        <f>$H$3+NPV($H$1,$F$4:F17)</f>
        <v>28675.476066008683</v>
      </c>
      <c r="I17" s="2">
        <f t="shared" si="0"/>
        <v>0</v>
      </c>
      <c r="L17">
        <f>(2*1000+4*3000)/4000</f>
        <v>3.5</v>
      </c>
    </row>
    <row r="18" spans="1:12" x14ac:dyDescent="0.25">
      <c r="A18">
        <v>15</v>
      </c>
      <c r="B18">
        <f>IF('Best case'!A18=Blad1!$C$16,Blad1!$C$17,0)</f>
        <v>0</v>
      </c>
      <c r="C18">
        <f>IF(A18&lt;=Blad1!$C$11,'Best case'!$C$1,0)</f>
        <v>0</v>
      </c>
      <c r="D18">
        <f t="shared" si="2"/>
        <v>3000</v>
      </c>
      <c r="E18">
        <f>Blad1!C40</f>
        <v>0</v>
      </c>
      <c r="F18">
        <f t="shared" si="1"/>
        <v>3000</v>
      </c>
      <c r="G18">
        <f>IF(A18&lt;=Blad1!$C$16,SUM(B18:E18),0)</f>
        <v>3000</v>
      </c>
      <c r="H18" s="3">
        <f>$H$3+NPV($H$1,$F$4:F18)</f>
        <v>30904.520255974232</v>
      </c>
      <c r="I18" s="2">
        <f t="shared" si="0"/>
        <v>0</v>
      </c>
    </row>
    <row r="19" spans="1:12" x14ac:dyDescent="0.25">
      <c r="A19">
        <v>16</v>
      </c>
      <c r="B19">
        <f>IF('Best case'!A19=Blad1!$C$16,Blad1!$C$17,0)</f>
        <v>0</v>
      </c>
      <c r="C19">
        <f>IF(A19&lt;=Blad1!$C$11,'Best case'!$C$1,0)</f>
        <v>0</v>
      </c>
      <c r="D19">
        <f t="shared" si="2"/>
        <v>3000</v>
      </c>
      <c r="E19">
        <f>Blad1!C41</f>
        <v>0</v>
      </c>
      <c r="F19">
        <f t="shared" si="1"/>
        <v>3000</v>
      </c>
      <c r="G19">
        <f>IF(A19&lt;=Blad1!$C$16,SUM(B19:E19),0)</f>
        <v>0</v>
      </c>
      <c r="H19" s="3">
        <f>$H$3+NPV($H$1,$F$4:F19)</f>
        <v>33089.857697116939</v>
      </c>
      <c r="I19" s="2">
        <f t="shared" si="0"/>
        <v>0</v>
      </c>
    </row>
    <row r="20" spans="1:12" x14ac:dyDescent="0.25">
      <c r="A20">
        <v>17</v>
      </c>
      <c r="B20">
        <f>IF('Best case'!A20=Blad1!$C$16,Blad1!$C$17,0)</f>
        <v>0</v>
      </c>
      <c r="C20">
        <f>IF(A20&lt;=Blad1!$C$11,'Best case'!$C$1,0)</f>
        <v>0</v>
      </c>
      <c r="D20">
        <f t="shared" si="2"/>
        <v>3000</v>
      </c>
      <c r="E20">
        <f>Blad1!C42</f>
        <v>0</v>
      </c>
      <c r="F20">
        <f t="shared" si="1"/>
        <v>3000</v>
      </c>
      <c r="G20">
        <f>IF(A20&lt;=Blad1!$C$16,SUM(B20:E20),0)</f>
        <v>0</v>
      </c>
      <c r="H20" s="3">
        <f>$H$3+NPV($H$1,$F$4:F20)</f>
        <v>35232.34538451174</v>
      </c>
      <c r="I20" s="2">
        <f t="shared" si="0"/>
        <v>0</v>
      </c>
    </row>
    <row r="21" spans="1:12" x14ac:dyDescent="0.25">
      <c r="A21">
        <v>18</v>
      </c>
      <c r="B21">
        <f>IF('Best case'!A21=Blad1!$C$16,Blad1!$C$17,0)</f>
        <v>0</v>
      </c>
      <c r="C21">
        <f>IF(A21&lt;=Blad1!$C$11,'Best case'!$C$1,0)</f>
        <v>0</v>
      </c>
      <c r="D21">
        <f t="shared" si="2"/>
        <v>3000</v>
      </c>
      <c r="E21">
        <f>Blad1!C43</f>
        <v>0</v>
      </c>
      <c r="F21">
        <f t="shared" si="1"/>
        <v>3000</v>
      </c>
      <c r="G21">
        <f>IF(A21&lt;=Blad1!$C$16,SUM(B21:E21),0)</f>
        <v>0</v>
      </c>
      <c r="H21" s="3">
        <f>$H$3+NPV($H$1,$F$4:F21)</f>
        <v>37332.823509408612</v>
      </c>
      <c r="I21" s="2">
        <f t="shared" si="0"/>
        <v>0</v>
      </c>
    </row>
    <row r="22" spans="1:12" x14ac:dyDescent="0.25">
      <c r="A22">
        <v>19</v>
      </c>
      <c r="B22">
        <f>IF('Best case'!A22=Blad1!$C$16,Blad1!$C$17,0)</f>
        <v>0</v>
      </c>
      <c r="C22">
        <f>IF(A22&lt;=Blad1!$C$11,'Best case'!$C$1,0)</f>
        <v>0</v>
      </c>
      <c r="D22">
        <f t="shared" si="2"/>
        <v>3000</v>
      </c>
      <c r="E22">
        <f>Blad1!C44</f>
        <v>0</v>
      </c>
      <c r="F22">
        <f t="shared" si="1"/>
        <v>3000</v>
      </c>
      <c r="G22">
        <f>IF(A22&lt;=Blad1!$C$16,SUM(B22:E22),0)</f>
        <v>0</v>
      </c>
      <c r="H22" s="3">
        <f>$H$3+NPV($H$1,$F$4:F22)</f>
        <v>39392.115788719268</v>
      </c>
      <c r="I22" s="2">
        <f t="shared" si="0"/>
        <v>0</v>
      </c>
    </row>
    <row r="23" spans="1:12" x14ac:dyDescent="0.25">
      <c r="A23">
        <v>20</v>
      </c>
      <c r="B23">
        <f>IF('Best case'!A23=Blad1!$C$16,Blad1!$C$17,0)</f>
        <v>0</v>
      </c>
      <c r="C23">
        <f>IF(A23&lt;=Blad1!$C$11,'Best case'!$C$1,0)</f>
        <v>0</v>
      </c>
      <c r="D23">
        <f t="shared" si="2"/>
        <v>3000</v>
      </c>
      <c r="E23">
        <f>Blad1!C45</f>
        <v>0</v>
      </c>
      <c r="F23">
        <f t="shared" si="1"/>
        <v>3000</v>
      </c>
      <c r="G23">
        <f>IF(A23&lt;=Blad1!$C$16,SUM(B23:E23),0)</f>
        <v>0</v>
      </c>
      <c r="H23" s="3">
        <f>$H$3+NPV($H$1,$F$4:F23)</f>
        <v>41411.029788043445</v>
      </c>
      <c r="I23" s="2">
        <f t="shared" si="0"/>
        <v>0</v>
      </c>
    </row>
    <row r="24" spans="1:12" x14ac:dyDescent="0.25">
      <c r="A24">
        <v>21</v>
      </c>
      <c r="B24">
        <f>IF('Best case'!A24=Blad1!$C$16,Blad1!$C$17,0)</f>
        <v>0</v>
      </c>
      <c r="C24">
        <f>IF(A24&lt;=Blad1!$C$11,'Best case'!$C$1,0)</f>
        <v>0</v>
      </c>
      <c r="D24">
        <f t="shared" si="2"/>
        <v>3000</v>
      </c>
      <c r="E24">
        <f>Blad1!C46</f>
        <v>0</v>
      </c>
      <c r="F24">
        <f t="shared" si="1"/>
        <v>3000</v>
      </c>
      <c r="G24">
        <f>IF(A24&lt;=Blad1!$C$16,SUM(B24:E24),0)</f>
        <v>0</v>
      </c>
      <c r="H24" s="3">
        <f>$H$3+NPV($H$1,$F$4:F24)</f>
        <v>43390.357238361255</v>
      </c>
      <c r="I24" s="2">
        <f t="shared" si="0"/>
        <v>0</v>
      </c>
    </row>
    <row r="25" spans="1:12" x14ac:dyDescent="0.25">
      <c r="A25">
        <v>22</v>
      </c>
      <c r="B25">
        <f>IF('Best case'!A25=Blad1!$C$16,Blad1!$C$17,0)</f>
        <v>0</v>
      </c>
      <c r="C25">
        <f>IF(A25&lt;=Blad1!$C$11,'Best case'!$C$1,0)</f>
        <v>0</v>
      </c>
      <c r="D25">
        <f t="shared" si="2"/>
        <v>3000</v>
      </c>
      <c r="E25">
        <f>Blad1!C47</f>
        <v>0</v>
      </c>
      <c r="F25">
        <f t="shared" si="1"/>
        <v>3000</v>
      </c>
      <c r="G25">
        <f>IF(A25&lt;=Blad1!$C$16,SUM(B25:E25),0)</f>
        <v>0</v>
      </c>
      <c r="H25" s="3">
        <f>$H$3+NPV($H$1,$F$4:F25)</f>
        <v>45330.874346515979</v>
      </c>
      <c r="I25" s="2">
        <f t="shared" si="0"/>
        <v>0</v>
      </c>
    </row>
    <row r="26" spans="1:12" x14ac:dyDescent="0.25">
      <c r="A26">
        <v>23</v>
      </c>
      <c r="B26">
        <f>IF('Best case'!A26=Blad1!$C$16,Blad1!$C$17,0)</f>
        <v>0</v>
      </c>
      <c r="C26">
        <f>IF(A26&lt;=Blad1!$C$11,'Best case'!$C$1,0)</f>
        <v>0</v>
      </c>
      <c r="D26">
        <f t="shared" si="2"/>
        <v>3000</v>
      </c>
      <c r="E26">
        <f>Blad1!C48</f>
        <v>0</v>
      </c>
      <c r="F26">
        <f t="shared" si="1"/>
        <v>3000</v>
      </c>
      <c r="G26">
        <f>IF(A26&lt;=Blad1!$C$16,SUM(B26:E26),0)</f>
        <v>0</v>
      </c>
      <c r="H26" s="3">
        <f>$H$3+NPV($H$1,$F$4:F26)</f>
        <v>47233.342099608846</v>
      </c>
      <c r="I26" s="2">
        <f t="shared" si="0"/>
        <v>0</v>
      </c>
    </row>
    <row r="27" spans="1:12" x14ac:dyDescent="0.25">
      <c r="A27">
        <v>24</v>
      </c>
      <c r="B27">
        <f>IF('Best case'!A27=Blad1!$C$16,Blad1!$C$17,0)</f>
        <v>0</v>
      </c>
      <c r="C27">
        <f>IF(A27&lt;=Blad1!$C$11,'Best case'!$C$1,0)</f>
        <v>0</v>
      </c>
      <c r="D27">
        <f t="shared" si="2"/>
        <v>3000</v>
      </c>
      <c r="E27">
        <f>Blad1!C49</f>
        <v>0</v>
      </c>
      <c r="F27">
        <f t="shared" si="1"/>
        <v>3000</v>
      </c>
      <c r="G27">
        <f>IF(A27&lt;=Blad1!$C$16,SUM(B27:E27),0)</f>
        <v>0</v>
      </c>
      <c r="H27" s="3">
        <f>$H$3+NPV($H$1,$F$4:F27)</f>
        <v>49098.506563425384</v>
      </c>
      <c r="I27" s="2">
        <f t="shared" si="0"/>
        <v>0</v>
      </c>
    </row>
    <row r="28" spans="1:12" x14ac:dyDescent="0.25">
      <c r="A28">
        <v>25</v>
      </c>
      <c r="B28">
        <f>IF('Best case'!A28=Blad1!$C$16,Blad1!$C$17,0)</f>
        <v>0</v>
      </c>
      <c r="C28">
        <f>IF(A28&lt;=Blad1!$C$11,'Best case'!$C$1,0)</f>
        <v>0</v>
      </c>
      <c r="D28">
        <f t="shared" si="2"/>
        <v>3000</v>
      </c>
      <c r="E28">
        <f>Blad1!C50</f>
        <v>0</v>
      </c>
      <c r="F28">
        <f t="shared" si="1"/>
        <v>3000</v>
      </c>
      <c r="G28">
        <f>IF(A28&lt;=Blad1!$C$16,SUM(B28:E28),0)</f>
        <v>0</v>
      </c>
      <c r="H28" s="3">
        <f>$H$3+NPV($H$1,$F$4:F28)</f>
        <v>50927.099175010218</v>
      </c>
      <c r="I28" s="2">
        <f t="shared" si="0"/>
        <v>0</v>
      </c>
    </row>
    <row r="29" spans="1:12" x14ac:dyDescent="0.25">
      <c r="A29">
        <v>26</v>
      </c>
      <c r="B29">
        <f>IF('Best case'!A29=Blad1!$C$16,Blad1!$C$17,0)</f>
        <v>0</v>
      </c>
      <c r="C29">
        <f>IF(A29&lt;=Blad1!$C$11,'Best case'!$C$1,0)</f>
        <v>0</v>
      </c>
      <c r="D29">
        <f t="shared" si="2"/>
        <v>3000</v>
      </c>
      <c r="E29">
        <f>Blad1!C51</f>
        <v>0</v>
      </c>
      <c r="F29">
        <f t="shared" si="1"/>
        <v>3000</v>
      </c>
      <c r="G29">
        <f>IF(A29&lt;=Blad1!$C$16,SUM(B29:E29),0)</f>
        <v>0</v>
      </c>
      <c r="H29" s="3">
        <f>$H$3+NPV($H$1,$F$4:F29)</f>
        <v>52719.83702950515</v>
      </c>
      <c r="I29" s="2">
        <f t="shared" si="0"/>
        <v>0</v>
      </c>
    </row>
    <row r="30" spans="1:12" x14ac:dyDescent="0.25">
      <c r="A30">
        <v>27</v>
      </c>
      <c r="B30">
        <f>IF('Best case'!A30=Blad1!$C$16,Blad1!$C$17,0)</f>
        <v>0</v>
      </c>
      <c r="C30">
        <f>IF(A30&lt;=Blad1!$C$11,'Best case'!$C$1,0)</f>
        <v>0</v>
      </c>
      <c r="D30">
        <f t="shared" si="2"/>
        <v>3000</v>
      </c>
      <c r="E30">
        <f>Blad1!C52</f>
        <v>0</v>
      </c>
      <c r="F30">
        <f t="shared" si="1"/>
        <v>3000</v>
      </c>
      <c r="G30">
        <f>IF(A30&lt;=Blad1!$C$16,SUM(B30:E30),0)</f>
        <v>0</v>
      </c>
      <c r="H30" s="3">
        <f>$H$3+NPV($H$1,$F$4:F30)</f>
        <v>54477.423161362938</v>
      </c>
      <c r="I30" s="2">
        <f t="shared" si="0"/>
        <v>0</v>
      </c>
    </row>
    <row r="31" spans="1:12" x14ac:dyDescent="0.25">
      <c r="A31">
        <v>28</v>
      </c>
      <c r="B31">
        <f>IF('Best case'!A31=Blad1!$C$16,Blad1!$C$17,0)</f>
        <v>0</v>
      </c>
      <c r="C31">
        <f>IF(A31&lt;=Blad1!$C$11,'Best case'!$C$1,0)</f>
        <v>0</v>
      </c>
      <c r="D31">
        <f t="shared" si="2"/>
        <v>3000</v>
      </c>
      <c r="E31">
        <f>Blad1!C53</f>
        <v>0</v>
      </c>
      <c r="F31">
        <f t="shared" si="1"/>
        <v>3000</v>
      </c>
      <c r="G31">
        <f>IF(A31&lt;=Blad1!$C$16,SUM(B31:E31),0)</f>
        <v>0</v>
      </c>
      <c r="H31" s="3">
        <f>$H$3+NPV($H$1,$F$4:F31)</f>
        <v>56200.546820047035</v>
      </c>
      <c r="I31" s="2">
        <f t="shared" si="0"/>
        <v>0</v>
      </c>
    </row>
    <row r="32" spans="1:12" x14ac:dyDescent="0.25">
      <c r="A32">
        <v>29</v>
      </c>
      <c r="B32">
        <f>IF('Best case'!A32=Blad1!$C$16,Blad1!$C$17,0)</f>
        <v>0</v>
      </c>
      <c r="C32">
        <f>IF(A32&lt;=Blad1!$C$11,'Best case'!$C$1,0)</f>
        <v>0</v>
      </c>
      <c r="D32">
        <f t="shared" si="2"/>
        <v>3000</v>
      </c>
      <c r="E32">
        <f>Blad1!C54</f>
        <v>0</v>
      </c>
      <c r="F32">
        <f t="shared" si="1"/>
        <v>3000</v>
      </c>
      <c r="G32">
        <f>IF(A32&lt;=Blad1!$C$16,SUM(B32:E32),0)</f>
        <v>0</v>
      </c>
      <c r="H32" s="3">
        <f>$H$3+NPV($H$1,$F$4:F32)</f>
        <v>57889.88374032556</v>
      </c>
      <c r="I32" s="2">
        <f t="shared" si="0"/>
        <v>0</v>
      </c>
    </row>
    <row r="33" spans="1:9" x14ac:dyDescent="0.25">
      <c r="A33">
        <v>30</v>
      </c>
      <c r="B33">
        <f>IF('Best case'!A33=Blad1!$C$16,Blad1!$C$17,0)</f>
        <v>0</v>
      </c>
      <c r="C33">
        <f>IF(A33&lt;=Blad1!$C$11,'Best case'!$C$1,0)</f>
        <v>0</v>
      </c>
      <c r="D33">
        <f t="shared" si="2"/>
        <v>3000</v>
      </c>
      <c r="E33">
        <f>Blad1!C55</f>
        <v>0</v>
      </c>
      <c r="F33">
        <f t="shared" si="1"/>
        <v>3000</v>
      </c>
      <c r="G33">
        <f>IF(A33&lt;=Blad1!$C$16,SUM(B33:E33),0)</f>
        <v>0</v>
      </c>
      <c r="H33" s="3">
        <f>$H$3+NPV($H$1,$F$4:F33)</f>
        <v>59546.096407265286</v>
      </c>
      <c r="I33" s="2">
        <f t="shared" si="0"/>
        <v>0</v>
      </c>
    </row>
    <row r="34" spans="1:9" x14ac:dyDescent="0.25">
      <c r="A34">
        <v>31</v>
      </c>
      <c r="B34">
        <f>IF('Best case'!A34=Blad1!$C$16,Blad1!$C$17,0)</f>
        <v>0</v>
      </c>
      <c r="C34">
        <f>IF(A34&lt;=Blad1!$C$11,'Best case'!$C$1,0)</f>
        <v>0</v>
      </c>
      <c r="D34">
        <f t="shared" si="2"/>
        <v>3000</v>
      </c>
      <c r="E34">
        <f>Blad1!C56</f>
        <v>0</v>
      </c>
      <c r="F34">
        <f t="shared" si="1"/>
        <v>3000</v>
      </c>
      <c r="G34">
        <f>IF(A34&lt;=Blad1!$C$16,SUM(B34:E34),0)</f>
        <v>0</v>
      </c>
      <c r="H34" s="3">
        <f>$H$3+NPV($H$1,$F$4:F34)</f>
        <v>61169.834316029737</v>
      </c>
      <c r="I34" s="2">
        <f t="shared" si="0"/>
        <v>0</v>
      </c>
    </row>
    <row r="35" spans="1:9" x14ac:dyDescent="0.25">
      <c r="A35">
        <v>32</v>
      </c>
      <c r="B35">
        <f>IF('Best case'!A35=Blad1!$C$16,Blad1!$C$17,0)</f>
        <v>0</v>
      </c>
      <c r="C35">
        <f>IF(A35&lt;=Blad1!$C$11,'Best case'!$C$1,0)</f>
        <v>0</v>
      </c>
      <c r="D35">
        <f t="shared" si="2"/>
        <v>3000</v>
      </c>
      <c r="E35">
        <f>Blad1!C57</f>
        <v>0</v>
      </c>
      <c r="F35">
        <f t="shared" si="1"/>
        <v>3000</v>
      </c>
      <c r="G35">
        <f>IF(A35&lt;=Blad1!$C$16,SUM(B35:E35),0)</f>
        <v>0</v>
      </c>
      <c r="H35" s="3">
        <f>$H$3+NPV($H$1,$F$4:F35)</f>
        <v>62761.734226583125</v>
      </c>
      <c r="I35" s="2">
        <f t="shared" si="0"/>
        <v>0</v>
      </c>
    </row>
    <row r="36" spans="1:9" x14ac:dyDescent="0.25">
      <c r="A36">
        <v>33</v>
      </c>
      <c r="B36">
        <f>IF('Best case'!A36=Blad1!$C$16,Blad1!$C$17,0)</f>
        <v>0</v>
      </c>
      <c r="C36">
        <f>IF(A36&lt;=Blad1!$C$11,'Best case'!$C$1,0)</f>
        <v>0</v>
      </c>
      <c r="D36">
        <f t="shared" si="2"/>
        <v>3000</v>
      </c>
      <c r="E36">
        <f>Blad1!C58</f>
        <v>0</v>
      </c>
      <c r="F36">
        <f t="shared" si="1"/>
        <v>3000</v>
      </c>
      <c r="G36">
        <f>IF(A36&lt;=Blad1!$C$16,SUM(B36:E36),0)</f>
        <v>0</v>
      </c>
      <c r="H36" s="3">
        <f>$H$3+NPV($H$1,$F$4:F36)</f>
        <v>64322.420413400163</v>
      </c>
      <c r="I36" s="2">
        <f t="shared" si="0"/>
        <v>0</v>
      </c>
    </row>
    <row r="37" spans="1:9" x14ac:dyDescent="0.25">
      <c r="A37">
        <v>34</v>
      </c>
      <c r="B37">
        <f>IF('Best case'!A37=Blad1!$C$16,Blad1!$C$17,0)</f>
        <v>0</v>
      </c>
      <c r="C37">
        <f>IF(A37&lt;=Blad1!$C$11,'Best case'!$C$1,0)</f>
        <v>0</v>
      </c>
      <c r="D37">
        <f t="shared" si="2"/>
        <v>3000</v>
      </c>
      <c r="E37">
        <f>Blad1!C59</f>
        <v>0</v>
      </c>
      <c r="F37">
        <f t="shared" si="1"/>
        <v>3000</v>
      </c>
      <c r="G37">
        <f>IF(A37&lt;=Blad1!$C$16,SUM(B37:E37),0)</f>
        <v>0</v>
      </c>
      <c r="H37" s="3">
        <f>$H$3+NPV($H$1,$F$4:F37)</f>
        <v>65852.504910279604</v>
      </c>
      <c r="I37" s="2">
        <f t="shared" si="0"/>
        <v>0</v>
      </c>
    </row>
    <row r="38" spans="1:9" x14ac:dyDescent="0.25">
      <c r="A38">
        <v>35</v>
      </c>
      <c r="B38">
        <f>IF('Best case'!A38=Blad1!$C$16,Blad1!$C$17,0)</f>
        <v>0</v>
      </c>
      <c r="C38">
        <f>IF(A38&lt;=Blad1!$C$11,'Best case'!$C$1,0)</f>
        <v>0</v>
      </c>
      <c r="D38">
        <f t="shared" si="2"/>
        <v>3000</v>
      </c>
      <c r="E38">
        <f>Blad1!C60</f>
        <v>0</v>
      </c>
      <c r="F38">
        <f t="shared" si="1"/>
        <v>3000</v>
      </c>
      <c r="G38">
        <f>IF(A38&lt;=Blad1!$C$16,SUM(B38:E38),0)</f>
        <v>0</v>
      </c>
      <c r="H38" s="3">
        <f>$H$3+NPV($H$1,$F$4:F38)</f>
        <v>67352.587750357503</v>
      </c>
      <c r="I38" s="2">
        <f t="shared" si="0"/>
        <v>0</v>
      </c>
    </row>
    <row r="39" spans="1:9" x14ac:dyDescent="0.25">
      <c r="A39">
        <v>36</v>
      </c>
      <c r="B39">
        <f>IF('Best case'!A39=Blad1!$C$16,Blad1!$C$17,0)</f>
        <v>0</v>
      </c>
      <c r="C39">
        <f>IF(A39&lt;=Blad1!$C$11,'Best case'!$C$1,0)</f>
        <v>0</v>
      </c>
      <c r="D39">
        <f t="shared" si="2"/>
        <v>3000</v>
      </c>
      <c r="E39">
        <f>Blad1!C61</f>
        <v>0</v>
      </c>
      <c r="F39">
        <f t="shared" si="1"/>
        <v>3000</v>
      </c>
      <c r="G39">
        <f>IF(A39&lt;=Blad1!$C$16,SUM(B39:E39),0)</f>
        <v>0</v>
      </c>
      <c r="H39" s="3">
        <f>$H$3+NPV($H$1,$F$4:F39)</f>
        <v>68823.25720141425</v>
      </c>
      <c r="I39" s="2">
        <f t="shared" si="0"/>
        <v>0</v>
      </c>
    </row>
    <row r="40" spans="1:9" x14ac:dyDescent="0.25">
      <c r="A40">
        <v>37</v>
      </c>
      <c r="B40">
        <f>IF('Best case'!A40=Blad1!$C$16,Blad1!$C$17,0)</f>
        <v>0</v>
      </c>
      <c r="C40">
        <f>IF(A40&lt;=Blad1!$C$11,'Best case'!$C$1,0)</f>
        <v>0</v>
      </c>
      <c r="D40">
        <f t="shared" si="2"/>
        <v>3000</v>
      </c>
      <c r="E40">
        <f>Blad1!C62</f>
        <v>0</v>
      </c>
      <c r="F40">
        <f t="shared" si="1"/>
        <v>3000</v>
      </c>
      <c r="G40">
        <f>IF(A40&lt;=Blad1!$C$16,SUM(B40:E40),0)</f>
        <v>0</v>
      </c>
      <c r="H40" s="3">
        <f>$H$3+NPV($H$1,$F$4:F40)</f>
        <v>70265.089996567942</v>
      </c>
      <c r="I40" s="2">
        <f t="shared" si="0"/>
        <v>0</v>
      </c>
    </row>
    <row r="41" spans="1:9" x14ac:dyDescent="0.25">
      <c r="A41">
        <v>38</v>
      </c>
      <c r="B41">
        <f>IF('Best case'!A41=Blad1!$C$16,Blad1!$C$17,0)</f>
        <v>0</v>
      </c>
      <c r="C41">
        <f>IF(A41&lt;=Blad1!$C$11,'Best case'!$C$1,0)</f>
        <v>0</v>
      </c>
      <c r="D41">
        <f t="shared" si="2"/>
        <v>3000</v>
      </c>
      <c r="E41">
        <f>Blad1!C63</f>
        <v>0</v>
      </c>
      <c r="F41">
        <f t="shared" si="1"/>
        <v>3000</v>
      </c>
      <c r="G41">
        <f>IF(A41&lt;=Blad1!$C$16,SUM(B41:E41),0)</f>
        <v>0</v>
      </c>
      <c r="H41" s="3">
        <f>$H$3+NPV($H$1,$F$4:F41)</f>
        <v>71678.651560444094</v>
      </c>
      <c r="I41" s="2">
        <f t="shared" si="0"/>
        <v>0</v>
      </c>
    </row>
    <row r="42" spans="1:9" x14ac:dyDescent="0.25">
      <c r="A42">
        <v>39</v>
      </c>
      <c r="B42">
        <f>IF('Best case'!A42=Blad1!$C$16,Blad1!$C$17,0)</f>
        <v>0</v>
      </c>
      <c r="C42">
        <f>IF(A42&lt;=Blad1!$C$11,'Best case'!$C$1,0)</f>
        <v>0</v>
      </c>
      <c r="D42">
        <f t="shared" si="2"/>
        <v>3000</v>
      </c>
      <c r="E42">
        <f>Blad1!C64</f>
        <v>0</v>
      </c>
      <c r="F42">
        <f t="shared" si="1"/>
        <v>3000</v>
      </c>
      <c r="G42">
        <f>IF(A42&lt;=Blad1!$C$16,SUM(B42:E42),0)</f>
        <v>0</v>
      </c>
      <c r="H42" s="3">
        <f>$H$3+NPV($H$1,$F$4:F42)</f>
        <v>73064.496230910911</v>
      </c>
      <c r="I42" s="2">
        <f t="shared" si="0"/>
        <v>0</v>
      </c>
    </row>
    <row r="43" spans="1:9" x14ac:dyDescent="0.25">
      <c r="A43">
        <v>40</v>
      </c>
      <c r="B43">
        <f>IF('Best case'!A43=Blad1!$C$16,Blad1!$C$17,0)</f>
        <v>0</v>
      </c>
      <c r="C43">
        <f>IF(A43&lt;=Blad1!$C$11,'Best case'!$C$1,0)</f>
        <v>0</v>
      </c>
      <c r="D43">
        <f t="shared" si="2"/>
        <v>3000</v>
      </c>
      <c r="E43">
        <f>Blad1!C65</f>
        <v>0</v>
      </c>
      <c r="F43">
        <f t="shared" si="1"/>
        <v>3000</v>
      </c>
      <c r="G43">
        <f>IF(A43&lt;=Blad1!$C$16,SUM(B43:E43),0)</f>
        <v>0</v>
      </c>
      <c r="H43" s="3">
        <f>$H$3+NPV($H$1,$F$4:F43)</f>
        <v>74423.16747646661</v>
      </c>
      <c r="I43" s="2">
        <f t="shared" si="0"/>
        <v>0</v>
      </c>
    </row>
    <row r="44" spans="1:9" x14ac:dyDescent="0.25">
      <c r="A44">
        <v>41</v>
      </c>
      <c r="B44">
        <f>IF('Best case'!A44=Blad1!$C$16,Blad1!$C$17,0)</f>
        <v>0</v>
      </c>
      <c r="C44">
        <f>IF(A44&lt;=Blad1!$C$11,'Best case'!$C$1,0)</f>
        <v>0</v>
      </c>
      <c r="D44">
        <f t="shared" si="2"/>
        <v>3000</v>
      </c>
      <c r="E44">
        <f>Blad1!C66</f>
        <v>0</v>
      </c>
      <c r="F44">
        <f t="shared" si="1"/>
        <v>3000</v>
      </c>
      <c r="G44">
        <f>IF(A44&lt;=Blad1!$C$16,SUM(B44:E44),0)</f>
        <v>0</v>
      </c>
      <c r="H44" s="3">
        <f>$H$3+NPV($H$1,$F$4:F44)</f>
        <v>75755.19810936437</v>
      </c>
      <c r="I44" s="2">
        <f t="shared" si="0"/>
        <v>0</v>
      </c>
    </row>
    <row r="45" spans="1:9" x14ac:dyDescent="0.25">
      <c r="A45">
        <v>42</v>
      </c>
      <c r="B45">
        <f>IF('Best case'!A45=Blad1!$C$16,Blad1!$C$17,0)</f>
        <v>0</v>
      </c>
      <c r="C45">
        <f>IF(A45&lt;=Blad1!$C$11,'Best case'!$C$1,0)</f>
        <v>0</v>
      </c>
      <c r="D45">
        <f t="shared" si="2"/>
        <v>3000</v>
      </c>
      <c r="E45">
        <f>Blad1!C67</f>
        <v>0</v>
      </c>
      <c r="F45">
        <f t="shared" si="1"/>
        <v>3000</v>
      </c>
      <c r="G45">
        <f>IF(A45&lt;=Blad1!$C$16,SUM(B45:E45),0)</f>
        <v>0</v>
      </c>
      <c r="H45" s="3">
        <f>$H$3+NPV($H$1,$F$4:F45)</f>
        <v>77061.110494558234</v>
      </c>
      <c r="I45" s="2">
        <f t="shared" si="0"/>
        <v>0</v>
      </c>
    </row>
    <row r="46" spans="1:9" x14ac:dyDescent="0.25">
      <c r="A46">
        <v>43</v>
      </c>
      <c r="B46">
        <f>IF('Best case'!A46=Blad1!$C$16,Blad1!$C$17,0)</f>
        <v>0</v>
      </c>
      <c r="C46">
        <f>IF(A46&lt;=Blad1!$C$11,'Best case'!$C$1,0)</f>
        <v>0</v>
      </c>
      <c r="D46">
        <f t="shared" si="2"/>
        <v>3000</v>
      </c>
      <c r="E46">
        <f>Blad1!C68</f>
        <v>0</v>
      </c>
      <c r="F46">
        <f t="shared" si="1"/>
        <v>3000</v>
      </c>
      <c r="G46">
        <f>IF(A46&lt;=Blad1!$C$16,SUM(B46:E46),0)</f>
        <v>0</v>
      </c>
      <c r="H46" s="3">
        <f>$H$3+NPV($H$1,$F$4:F46)</f>
        <v>78341.416754552236</v>
      </c>
      <c r="I46" s="2">
        <f t="shared" si="0"/>
        <v>0</v>
      </c>
    </row>
    <row r="47" spans="1:9" x14ac:dyDescent="0.25">
      <c r="A47">
        <v>44</v>
      </c>
      <c r="B47">
        <f>IF('Best case'!A47=Blad1!$C$16,Blad1!$C$17,0)</f>
        <v>0</v>
      </c>
      <c r="C47">
        <f>IF(A47&lt;=Blad1!$C$11,'Best case'!$C$1,0)</f>
        <v>0</v>
      </c>
      <c r="D47">
        <f t="shared" si="2"/>
        <v>3000</v>
      </c>
      <c r="E47">
        <f>Blad1!C69</f>
        <v>0</v>
      </c>
      <c r="F47">
        <f t="shared" si="1"/>
        <v>3000</v>
      </c>
      <c r="G47">
        <f>IF(A47&lt;=Blad1!$C$16,SUM(B47:E47),0)</f>
        <v>0</v>
      </c>
      <c r="H47" s="3">
        <f>$H$3+NPV($H$1,$F$4:F47)</f>
        <v>79596.618970232637</v>
      </c>
      <c r="I47" s="2">
        <f t="shared" si="0"/>
        <v>0</v>
      </c>
    </row>
    <row r="48" spans="1:9" x14ac:dyDescent="0.25">
      <c r="A48">
        <v>45</v>
      </c>
      <c r="B48">
        <f>IF('Best case'!A48=Blad1!$C$16,Blad1!$C$17,0)</f>
        <v>0</v>
      </c>
      <c r="C48">
        <f>IF(A48&lt;=Blad1!$C$11,'Best case'!$C$1,0)</f>
        <v>0</v>
      </c>
      <c r="D48">
        <f t="shared" si="2"/>
        <v>3000</v>
      </c>
      <c r="E48">
        <f>Blad1!C70</f>
        <v>0</v>
      </c>
      <c r="F48">
        <f t="shared" si="1"/>
        <v>3000</v>
      </c>
      <c r="G48">
        <f>IF(A48&lt;=Blad1!$C$16,SUM(B48:E48),0)</f>
        <v>0</v>
      </c>
      <c r="H48" s="3">
        <f>$H$3+NPV($H$1,$F$4:F48)</f>
        <v>80827.209377762425</v>
      </c>
      <c r="I48" s="2">
        <f t="shared" si="0"/>
        <v>0</v>
      </c>
    </row>
    <row r="49" spans="1:9" x14ac:dyDescent="0.25">
      <c r="A49">
        <v>46</v>
      </c>
      <c r="B49">
        <f>IF('Best case'!A49=Blad1!$C$16,Blad1!$C$17,0)</f>
        <v>0</v>
      </c>
      <c r="C49">
        <f>IF(A49&lt;=Blad1!$C$11,'Best case'!$C$1,0)</f>
        <v>0</v>
      </c>
      <c r="D49">
        <f t="shared" si="2"/>
        <v>3000</v>
      </c>
      <c r="E49">
        <f>Blad1!C71</f>
        <v>0</v>
      </c>
      <c r="F49">
        <f t="shared" si="1"/>
        <v>3000</v>
      </c>
      <c r="G49">
        <f>IF(A49&lt;=Blad1!$C$16,SUM(B49:E49),0)</f>
        <v>0</v>
      </c>
      <c r="H49" s="3">
        <f>$H$3+NPV($H$1,$F$4:F49)</f>
        <v>82033.670561615159</v>
      </c>
      <c r="I49" s="2">
        <f t="shared" si="0"/>
        <v>0</v>
      </c>
    </row>
    <row r="50" spans="1:9" x14ac:dyDescent="0.25">
      <c r="A50">
        <v>47</v>
      </c>
      <c r="B50">
        <f>IF('Best case'!A50=Blad1!$C$16,Blad1!$C$17,0)</f>
        <v>0</v>
      </c>
      <c r="C50">
        <f>IF(A50&lt;=Blad1!$C$11,'Best case'!$C$1,0)</f>
        <v>0</v>
      </c>
      <c r="D50">
        <f t="shared" si="2"/>
        <v>3000</v>
      </c>
      <c r="E50">
        <f>Blad1!C72</f>
        <v>0</v>
      </c>
      <c r="F50">
        <f t="shared" si="1"/>
        <v>3000</v>
      </c>
      <c r="G50">
        <f>IF(A50&lt;=Blad1!$C$16,SUM(B50:E50),0)</f>
        <v>0</v>
      </c>
      <c r="H50" s="3">
        <f>$H$3+NPV($H$1,$F$4:F50)</f>
        <v>83216.475643823724</v>
      </c>
      <c r="I50" s="2">
        <f t="shared" si="0"/>
        <v>0</v>
      </c>
    </row>
    <row r="51" spans="1:9" x14ac:dyDescent="0.25">
      <c r="A51">
        <v>48</v>
      </c>
      <c r="B51">
        <f>IF('Best case'!A51=Blad1!$C$16,Blad1!$C$17,0)</f>
        <v>0</v>
      </c>
      <c r="C51">
        <f>IF(A51&lt;=Blad1!$C$11,'Best case'!$C$1,0)</f>
        <v>0</v>
      </c>
      <c r="D51">
        <f t="shared" si="2"/>
        <v>3000</v>
      </c>
      <c r="E51">
        <f>Blad1!C73</f>
        <v>0</v>
      </c>
      <c r="F51">
        <f t="shared" si="1"/>
        <v>3000</v>
      </c>
      <c r="G51">
        <f>IF(A51&lt;=Blad1!$C$16,SUM(B51:E51),0)</f>
        <v>0</v>
      </c>
      <c r="H51" s="3">
        <f>$H$3+NPV($H$1,$F$4:F51)</f>
        <v>84376.088469518392</v>
      </c>
      <c r="I51" s="2">
        <f t="shared" si="0"/>
        <v>0</v>
      </c>
    </row>
    <row r="52" spans="1:9" x14ac:dyDescent="0.25">
      <c r="A52">
        <v>49</v>
      </c>
      <c r="B52">
        <f>IF('Best case'!A52=Blad1!$C$16,Blad1!$C$17,0)</f>
        <v>0</v>
      </c>
      <c r="C52">
        <f>IF(A52&lt;=Blad1!$C$11,'Best case'!$C$1,0)</f>
        <v>0</v>
      </c>
      <c r="D52">
        <f t="shared" si="2"/>
        <v>3000</v>
      </c>
      <c r="E52">
        <f>Blad1!C74</f>
        <v>0</v>
      </c>
      <c r="F52">
        <f t="shared" si="1"/>
        <v>3000</v>
      </c>
      <c r="G52">
        <f>IF(A52&lt;=Blad1!$C$16,SUM(B52:E52),0)</f>
        <v>0</v>
      </c>
      <c r="H52" s="3">
        <f>$H$3+NPV($H$1,$F$4:F52)</f>
        <v>85512.963788826892</v>
      </c>
      <c r="I52" s="2">
        <f t="shared" si="0"/>
        <v>0</v>
      </c>
    </row>
    <row r="53" spans="1:9" x14ac:dyDescent="0.25">
      <c r="A53">
        <v>50</v>
      </c>
      <c r="B53">
        <f>IF('Best case'!A53=Blad1!$C$16,Blad1!$C$17,0)</f>
        <v>0</v>
      </c>
      <c r="C53">
        <f>IF(A53&lt;=Blad1!$C$11,'Best case'!$C$1,0)</f>
        <v>0</v>
      </c>
      <c r="D53">
        <f t="shared" si="2"/>
        <v>3000</v>
      </c>
      <c r="E53">
        <f>Blad1!C75</f>
        <v>0</v>
      </c>
      <c r="F53">
        <f t="shared" si="1"/>
        <v>3000</v>
      </c>
      <c r="G53">
        <f>IF(A53&lt;=Blad1!$C$16,SUM(B53:E53),0)</f>
        <v>0</v>
      </c>
      <c r="H53" s="3">
        <f>$H$3+NPV($H$1,$F$4:F53)</f>
        <v>86627.547435207773</v>
      </c>
      <c r="I53" s="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18" sqref="H18"/>
    </sheetView>
  </sheetViews>
  <sheetFormatPr defaultRowHeight="15" x14ac:dyDescent="0.25"/>
  <cols>
    <col min="2" max="2" width="14.5703125" customWidth="1"/>
    <col min="3" max="3" width="11.85546875" customWidth="1"/>
    <col min="4" max="4" width="11.7109375" customWidth="1"/>
    <col min="5" max="5" width="11" customWidth="1"/>
    <col min="6" max="6" width="13.140625" customWidth="1"/>
    <col min="7" max="7" width="12.7109375" customWidth="1"/>
    <col min="8" max="8" width="12.140625" bestFit="1" customWidth="1"/>
  </cols>
  <sheetData>
    <row r="1" spans="1:11" x14ac:dyDescent="0.25">
      <c r="B1">
        <f>Blad1!D14*Blad1!D10*Blad1!D7</f>
        <v>0</v>
      </c>
      <c r="C1">
        <f>Blad1!D7/Blad1!D11*Blad1!D14</f>
        <v>500</v>
      </c>
      <c r="D1">
        <f>(1-Blad1!D14)*(Blad1!D9+Blad1!D8)</f>
        <v>3000</v>
      </c>
      <c r="H1" s="40">
        <f>Blad1!D15-(Blad1!D13*Blad1!D9+Blad1!D8*Blad1!D12)/(Blad1!D8+Blad1!D9)</f>
        <v>3.5000000000000003E-2</v>
      </c>
      <c r="I1" s="2">
        <f>SUM(I3:I53)</f>
        <v>3.0636942696428564</v>
      </c>
    </row>
    <row r="2" spans="1:11" x14ac:dyDescent="0.25">
      <c r="A2" t="s">
        <v>71</v>
      </c>
      <c r="B2" t="s">
        <v>0</v>
      </c>
      <c r="C2" t="s">
        <v>11</v>
      </c>
      <c r="D2" t="s">
        <v>12</v>
      </c>
      <c r="E2" t="s">
        <v>14</v>
      </c>
      <c r="F2" t="s">
        <v>13</v>
      </c>
      <c r="G2" t="s">
        <v>76</v>
      </c>
      <c r="H2" t="s">
        <v>15</v>
      </c>
      <c r="I2" t="s">
        <v>75</v>
      </c>
    </row>
    <row r="3" spans="1:11" x14ac:dyDescent="0.25">
      <c r="A3">
        <v>0</v>
      </c>
      <c r="B3" s="41">
        <f>-1*Blad1!D7</f>
        <v>-10000</v>
      </c>
      <c r="C3" s="41"/>
      <c r="D3" s="41"/>
      <c r="E3" s="41">
        <f>Blad1!D25</f>
        <v>0</v>
      </c>
      <c r="F3" s="41">
        <f>SUM(B3:E3)</f>
        <v>-10000</v>
      </c>
      <c r="G3" s="41">
        <f>IF(A3&lt;=Blad1!$D$16,SUM(B3:E3),0)</f>
        <v>-10000</v>
      </c>
      <c r="H3" s="3">
        <f>F3</f>
        <v>-10000</v>
      </c>
      <c r="I3" s="2">
        <f>IF(AND(H3&lt;0,H4&gt;=0),A3+-1*H3/(H4-H3),0)</f>
        <v>0</v>
      </c>
    </row>
    <row r="4" spans="1:11" x14ac:dyDescent="0.25">
      <c r="A4">
        <v>1</v>
      </c>
      <c r="B4" s="41">
        <f>B1</f>
        <v>0</v>
      </c>
      <c r="C4" s="41">
        <f>IF(A4&lt;=Blad1!$D$11,'Average case'!$C$1,0)</f>
        <v>500</v>
      </c>
      <c r="D4" s="41">
        <f>$D$1</f>
        <v>3000</v>
      </c>
      <c r="E4" s="41">
        <f>Blad1!D26</f>
        <v>0</v>
      </c>
      <c r="F4" s="41">
        <f t="shared" ref="F4:F53" si="0">SUM(B4:E4)</f>
        <v>3500</v>
      </c>
      <c r="G4" s="41">
        <f>IF(A4&lt;=Blad1!$D$16,SUM(B4:E4),0)</f>
        <v>3500</v>
      </c>
      <c r="H4" s="3">
        <f>$H$3+NPV($H$1,F4)</f>
        <v>-6618.3574879227053</v>
      </c>
      <c r="I4" s="2">
        <f t="shared" ref="I4:I53" si="1">IF(AND(H4&lt;0,H5&gt;=0),A4+-1*H4/(H5-H4),0)</f>
        <v>0</v>
      </c>
    </row>
    <row r="5" spans="1:11" x14ac:dyDescent="0.25">
      <c r="A5">
        <v>2</v>
      </c>
      <c r="B5" s="41">
        <f>IF(A5=Blad1!$D$16,Blad1!$D$17,0)</f>
        <v>0</v>
      </c>
      <c r="C5" s="41">
        <f>IF(A5&lt;=Blad1!$D$11,'Average case'!$C$1,0)</f>
        <v>500</v>
      </c>
      <c r="D5" s="41">
        <f t="shared" ref="D5:D53" si="2">$D$1</f>
        <v>3000</v>
      </c>
      <c r="E5" s="41">
        <f>Blad1!D27</f>
        <v>0</v>
      </c>
      <c r="F5" s="41">
        <f t="shared" si="0"/>
        <v>3500</v>
      </c>
      <c r="G5" s="41">
        <f>IF(A5&lt;=Blad1!$D$16,SUM(B5:E5),0)</f>
        <v>3500</v>
      </c>
      <c r="H5" s="3">
        <f>$H$3+NPV($H$1,$F$4:F5)</f>
        <v>-3351.0700366402943</v>
      </c>
      <c r="I5" s="2">
        <f t="shared" si="1"/>
        <v>0</v>
      </c>
      <c r="K5" s="1">
        <f>IRR(G3:G18)</f>
        <v>0.33420340253760417</v>
      </c>
    </row>
    <row r="6" spans="1:11" x14ac:dyDescent="0.25">
      <c r="A6">
        <v>3</v>
      </c>
      <c r="B6" s="41">
        <f>IF(A6=Blad1!$D$16,Blad1!$D$17,0)</f>
        <v>0</v>
      </c>
      <c r="C6" s="41">
        <f>IF(A6&lt;=Blad1!$D$11,'Average case'!$C$1,0)</f>
        <v>500</v>
      </c>
      <c r="D6" s="41">
        <f t="shared" si="2"/>
        <v>3000</v>
      </c>
      <c r="E6" s="41">
        <f>Blad1!D28</f>
        <v>0</v>
      </c>
      <c r="F6" s="41">
        <f t="shared" si="0"/>
        <v>3500</v>
      </c>
      <c r="G6" s="41">
        <f>IF(A6&lt;=Blad1!$D$16,SUM(B6:E6),0)</f>
        <v>3500</v>
      </c>
      <c r="H6" s="3">
        <f>$H$3+NPV($H$1,$F$4:F6)</f>
        <v>-194.2705668022154</v>
      </c>
      <c r="I6" s="2">
        <f t="shared" si="1"/>
        <v>3.0636942696428564</v>
      </c>
    </row>
    <row r="7" spans="1:11" x14ac:dyDescent="0.25">
      <c r="A7">
        <v>4</v>
      </c>
      <c r="B7" s="41">
        <f>IF(A7=Blad1!$D$16,Blad1!$D$17,0)</f>
        <v>0</v>
      </c>
      <c r="C7" s="41">
        <f>IF(A7&lt;=Blad1!$D$11,'Average case'!$C$1,0)</f>
        <v>500</v>
      </c>
      <c r="D7" s="41">
        <f t="shared" si="2"/>
        <v>3000</v>
      </c>
      <c r="E7" s="41">
        <f>Blad1!D29</f>
        <v>0</v>
      </c>
      <c r="F7" s="41">
        <f t="shared" si="0"/>
        <v>3500</v>
      </c>
      <c r="G7" s="41">
        <f>IF(A7&lt;=Blad1!$D$16,SUM(B7:E7),0)</f>
        <v>3500</v>
      </c>
      <c r="H7" s="3">
        <f>$H$3+NPV($H$1,$F$4:F7)</f>
        <v>2855.7772301427885</v>
      </c>
      <c r="I7" s="2">
        <f t="shared" si="1"/>
        <v>0</v>
      </c>
    </row>
    <row r="8" spans="1:11" x14ac:dyDescent="0.25">
      <c r="A8">
        <v>5</v>
      </c>
      <c r="B8" s="41">
        <f>IF(A8=Blad1!$D$16,Blad1!$D$17,0)</f>
        <v>0</v>
      </c>
      <c r="C8" s="41">
        <f>IF(A8&lt;=Blad1!$D$11,'Average case'!$C$1,0)</f>
        <v>500</v>
      </c>
      <c r="D8" s="41">
        <f t="shared" si="2"/>
        <v>3000</v>
      </c>
      <c r="E8" s="41">
        <f>Blad1!D30</f>
        <v>0</v>
      </c>
      <c r="F8" s="41">
        <f t="shared" si="0"/>
        <v>3500</v>
      </c>
      <c r="G8" s="41">
        <f>IF(A8&lt;=Blad1!$D$16,SUM(B8:E8),0)</f>
        <v>3500</v>
      </c>
      <c r="H8" s="3">
        <f>$H$3+NPV($H$1,$F$4:F8)</f>
        <v>5802.6833141476236</v>
      </c>
      <c r="I8" s="2">
        <f t="shared" si="1"/>
        <v>0</v>
      </c>
    </row>
    <row r="9" spans="1:11" x14ac:dyDescent="0.25">
      <c r="A9">
        <v>6</v>
      </c>
      <c r="B9" s="41">
        <f>IF(A9=Blad1!$D$16,Blad1!$D$17,0)</f>
        <v>0</v>
      </c>
      <c r="C9" s="41">
        <f>IF(A9&lt;=Blad1!$D$11,'Average case'!$C$1,0)</f>
        <v>0</v>
      </c>
      <c r="D9" s="41">
        <f t="shared" si="2"/>
        <v>3000</v>
      </c>
      <c r="E9" s="41">
        <f>Blad1!D31</f>
        <v>0</v>
      </c>
      <c r="F9" s="41">
        <f t="shared" si="0"/>
        <v>3000</v>
      </c>
      <c r="G9" s="41">
        <f>IF(A9&lt;=Blad1!$D$16,SUM(B9:E9),0)</f>
        <v>3000</v>
      </c>
      <c r="H9" s="3">
        <f>$H$3+NPV($H$1,$F$4:F9)</f>
        <v>8243.1852470708836</v>
      </c>
      <c r="I9" s="2">
        <f t="shared" si="1"/>
        <v>0</v>
      </c>
    </row>
    <row r="10" spans="1:11" x14ac:dyDescent="0.25">
      <c r="A10">
        <v>7</v>
      </c>
      <c r="B10" s="41">
        <f>IF(A10=Blad1!$D$16,Blad1!$D$17,0)</f>
        <v>0</v>
      </c>
      <c r="C10" s="41">
        <f>IF(A10&lt;=Blad1!$D$11,'Average case'!$C$1,0)</f>
        <v>0</v>
      </c>
      <c r="D10" s="41">
        <f t="shared" si="2"/>
        <v>3000</v>
      </c>
      <c r="E10" s="41">
        <f>Blad1!D32</f>
        <v>0</v>
      </c>
      <c r="F10" s="41">
        <f t="shared" si="0"/>
        <v>3000</v>
      </c>
      <c r="G10" s="41">
        <f>IF(A10&lt;=Blad1!$D$16,SUM(B10:E10),0)</f>
        <v>3000</v>
      </c>
      <c r="H10" s="3">
        <f>$H$3+NPV($H$1,$F$4:F10)</f>
        <v>10601.158129122341</v>
      </c>
      <c r="I10" s="2">
        <f t="shared" si="1"/>
        <v>0</v>
      </c>
    </row>
    <row r="11" spans="1:11" x14ac:dyDescent="0.25">
      <c r="A11">
        <v>8</v>
      </c>
      <c r="B11" s="41">
        <f>IF(A11=Blad1!$D$16,Blad1!$D$17,0)</f>
        <v>0</v>
      </c>
      <c r="C11" s="41">
        <f>IF(A11&lt;=Blad1!$D$11,'Average case'!$C$1,0)</f>
        <v>0</v>
      </c>
      <c r="D11" s="41">
        <f t="shared" si="2"/>
        <v>3000</v>
      </c>
      <c r="E11" s="41">
        <f>Blad1!D33</f>
        <v>0</v>
      </c>
      <c r="F11" s="41">
        <f t="shared" si="0"/>
        <v>3000</v>
      </c>
      <c r="G11" s="41">
        <f>IF(A11&lt;=Blad1!$D$16,SUM(B11:E11),0)</f>
        <v>3000</v>
      </c>
      <c r="H11" s="3">
        <f>$H$3+NPV($H$1,$F$4:F11)</f>
        <v>12879.392797771092</v>
      </c>
      <c r="I11" s="2">
        <f t="shared" si="1"/>
        <v>0</v>
      </c>
    </row>
    <row r="12" spans="1:11" x14ac:dyDescent="0.25">
      <c r="A12">
        <v>9</v>
      </c>
      <c r="B12" s="41">
        <f>IF(A12=Blad1!$D$16,Blad1!$D$17,0)</f>
        <v>0</v>
      </c>
      <c r="C12" s="41">
        <f>IF(A12&lt;=Blad1!$D$11,'Average case'!$C$1,0)</f>
        <v>0</v>
      </c>
      <c r="D12" s="41">
        <f t="shared" si="2"/>
        <v>3000</v>
      </c>
      <c r="E12" s="41">
        <f>Blad1!D34</f>
        <v>0</v>
      </c>
      <c r="F12" s="41">
        <f t="shared" si="0"/>
        <v>3000</v>
      </c>
      <c r="G12" s="41">
        <f>IF(A12&lt;=Blad1!$D$16,SUM(B12:E12),0)</f>
        <v>3000</v>
      </c>
      <c r="H12" s="3">
        <f>$H$3+NPV($H$1,$F$4:F12)</f>
        <v>15080.585714339933</v>
      </c>
      <c r="I12" s="2">
        <f t="shared" si="1"/>
        <v>0</v>
      </c>
    </row>
    <row r="13" spans="1:11" x14ac:dyDescent="0.25">
      <c r="A13">
        <v>10</v>
      </c>
      <c r="B13" s="41">
        <f>IF(A13=Blad1!$D$16,Blad1!$D$17,0)</f>
        <v>0</v>
      </c>
      <c r="C13" s="41">
        <f>IF(A13&lt;=Blad1!$D$11,'Average case'!$C$1,0)</f>
        <v>0</v>
      </c>
      <c r="D13" s="41">
        <f t="shared" si="2"/>
        <v>3000</v>
      </c>
      <c r="E13" s="41">
        <f>Blad1!D35</f>
        <v>0</v>
      </c>
      <c r="F13" s="41">
        <f t="shared" si="0"/>
        <v>3000</v>
      </c>
      <c r="G13" s="41">
        <f>IF(A13&lt;=Blad1!$D$16,SUM(B13:E13),0)</f>
        <v>3000</v>
      </c>
      <c r="H13" s="3">
        <f>$H$3+NPV($H$1,$F$4:F13)</f>
        <v>17207.34215546925</v>
      </c>
      <c r="I13" s="2">
        <f t="shared" si="1"/>
        <v>0</v>
      </c>
    </row>
    <row r="14" spans="1:11" x14ac:dyDescent="0.25">
      <c r="A14">
        <v>11</v>
      </c>
      <c r="B14" s="41">
        <f>IF(A14=Blad1!$D$16,Blad1!$D$17,0)</f>
        <v>0</v>
      </c>
      <c r="C14" s="41">
        <f>IF(A14&lt;=Blad1!$D$11,'Average case'!$C$1,0)</f>
        <v>0</v>
      </c>
      <c r="D14" s="41">
        <f t="shared" si="2"/>
        <v>3000</v>
      </c>
      <c r="E14" s="41">
        <f>Blad1!D36</f>
        <v>0</v>
      </c>
      <c r="F14" s="41">
        <f t="shared" si="0"/>
        <v>3000</v>
      </c>
      <c r="G14" s="41">
        <f>IF(A14&lt;=Blad1!$D$16,SUM(B14:E14),0)</f>
        <v>3000</v>
      </c>
      <c r="H14" s="3">
        <f>$H$3+NPV($H$1,$F$4:F14)</f>
        <v>19262.179296656996</v>
      </c>
      <c r="I14" s="2">
        <f t="shared" si="1"/>
        <v>0</v>
      </c>
    </row>
    <row r="15" spans="1:11" x14ac:dyDescent="0.25">
      <c r="A15">
        <v>12</v>
      </c>
      <c r="B15" s="41">
        <f>IF(A15=Blad1!$D$16,Blad1!$D$17,0)</f>
        <v>0</v>
      </c>
      <c r="C15" s="41">
        <f>IF(A15&lt;=Blad1!$D$11,'Average case'!$C$1,0)</f>
        <v>0</v>
      </c>
      <c r="D15" s="41">
        <f t="shared" si="2"/>
        <v>3000</v>
      </c>
      <c r="E15" s="41">
        <f>Blad1!D37</f>
        <v>0</v>
      </c>
      <c r="F15" s="41">
        <f t="shared" si="0"/>
        <v>3000</v>
      </c>
      <c r="G15" s="41">
        <f>IF(A15&lt;=Blad1!$D$16,SUM(B15:E15),0)</f>
        <v>3000</v>
      </c>
      <c r="H15" s="3">
        <f>$H$3+NPV($H$1,$F$4:F15)</f>
        <v>21247.529191524383</v>
      </c>
      <c r="I15" s="2">
        <f t="shared" si="1"/>
        <v>0</v>
      </c>
    </row>
    <row r="16" spans="1:11" x14ac:dyDescent="0.25">
      <c r="A16">
        <v>13</v>
      </c>
      <c r="B16" s="41">
        <f>IF(A16=Blad1!$D$16,Blad1!$D$17,0)</f>
        <v>0</v>
      </c>
      <c r="C16" s="41">
        <f>IF(A16&lt;=Blad1!$D$11,'Average case'!$C$1,0)</f>
        <v>0</v>
      </c>
      <c r="D16" s="41">
        <f t="shared" si="2"/>
        <v>3000</v>
      </c>
      <c r="E16" s="41">
        <f>Blad1!D38</f>
        <v>0</v>
      </c>
      <c r="F16" s="41">
        <f t="shared" si="0"/>
        <v>3000</v>
      </c>
      <c r="G16" s="41">
        <f>IF(A16&lt;=Blad1!$D$16,SUM(B16:E16),0)</f>
        <v>3000</v>
      </c>
      <c r="H16" s="3">
        <f>$H$3+NPV($H$1,$F$4:F16)</f>
        <v>23165.741650333453</v>
      </c>
      <c r="I16" s="2">
        <f t="shared" si="1"/>
        <v>0</v>
      </c>
    </row>
    <row r="17" spans="1:9" x14ac:dyDescent="0.25">
      <c r="A17">
        <v>14</v>
      </c>
      <c r="B17" s="41">
        <f>IF(A17=Blad1!$D$16,Blad1!$D$17,0)</f>
        <v>0</v>
      </c>
      <c r="C17" s="41">
        <f>IF(A17&lt;=Blad1!$D$11,'Average case'!$C$1,0)</f>
        <v>0</v>
      </c>
      <c r="D17" s="41">
        <f t="shared" si="2"/>
        <v>3000</v>
      </c>
      <c r="E17" s="41">
        <f>Blad1!D39</f>
        <v>0</v>
      </c>
      <c r="F17" s="41">
        <f t="shared" si="0"/>
        <v>3000</v>
      </c>
      <c r="G17" s="41">
        <f>IF(A17&lt;=Blad1!$D$16,SUM(B17:E17),0)</f>
        <v>3000</v>
      </c>
      <c r="H17" s="3">
        <f>$H$3+NPV($H$1,$F$4:F17)</f>
        <v>25019.087021163468</v>
      </c>
      <c r="I17" s="2">
        <f t="shared" si="1"/>
        <v>0</v>
      </c>
    </row>
    <row r="18" spans="1:9" x14ac:dyDescent="0.25">
      <c r="A18">
        <v>15</v>
      </c>
      <c r="B18" s="41">
        <f>IF(A18=Blad1!$D$16,Blad1!$D$17,0)</f>
        <v>0</v>
      </c>
      <c r="C18" s="41">
        <f>IF(A18&lt;=Blad1!$D$11,'Average case'!$C$1,0)</f>
        <v>0</v>
      </c>
      <c r="D18" s="41">
        <f t="shared" si="2"/>
        <v>3000</v>
      </c>
      <c r="E18" s="41">
        <f>Blad1!D40</f>
        <v>0</v>
      </c>
      <c r="F18" s="41">
        <f t="shared" si="0"/>
        <v>3000</v>
      </c>
      <c r="G18" s="41">
        <f>IF(A18&lt;=Blad1!$D$16,SUM(B18:E18),0)</f>
        <v>3000</v>
      </c>
      <c r="H18" s="3">
        <f>$H$3+NPV($H$1,$F$4:F18)</f>
        <v>26809.758877037886</v>
      </c>
      <c r="I18" s="2">
        <f t="shared" si="1"/>
        <v>0</v>
      </c>
    </row>
    <row r="19" spans="1:9" x14ac:dyDescent="0.25">
      <c r="A19">
        <v>16</v>
      </c>
      <c r="B19" s="41">
        <f>IF(A19=Blad1!$D$16,Blad1!$D$17,0)</f>
        <v>0</v>
      </c>
      <c r="C19" s="41">
        <f>IF(A19&lt;=Blad1!$D$11,'Average case'!$C$1,0)</f>
        <v>0</v>
      </c>
      <c r="D19" s="41">
        <f t="shared" si="2"/>
        <v>3000</v>
      </c>
      <c r="E19" s="41">
        <f>Blad1!D41</f>
        <v>0</v>
      </c>
      <c r="F19" s="41">
        <f t="shared" si="0"/>
        <v>3000</v>
      </c>
      <c r="G19" s="41">
        <f>IF(A19&lt;=Blad1!$D$16,SUM(B19:E19),0)</f>
        <v>0</v>
      </c>
      <c r="H19" s="3">
        <f>$H$3+NPV($H$1,$F$4:F19)</f>
        <v>28539.876612182255</v>
      </c>
      <c r="I19" s="2">
        <f t="shared" si="1"/>
        <v>0</v>
      </c>
    </row>
    <row r="20" spans="1:9" x14ac:dyDescent="0.25">
      <c r="A20">
        <v>17</v>
      </c>
      <c r="B20" s="41">
        <f>IF(A20=Blad1!$D$16,Blad1!$D$17,0)</f>
        <v>0</v>
      </c>
      <c r="C20" s="41">
        <f>IF(A20&lt;=Blad1!$D$11,'Average case'!$C$1,0)</f>
        <v>0</v>
      </c>
      <c r="D20" s="41">
        <f t="shared" si="2"/>
        <v>3000</v>
      </c>
      <c r="E20" s="41">
        <f>Blad1!D42</f>
        <v>0</v>
      </c>
      <c r="F20" s="41">
        <f t="shared" si="0"/>
        <v>3000</v>
      </c>
      <c r="G20" s="41">
        <f>IF(A20&lt;=Blad1!$D$16,SUM(B20:E20),0)</f>
        <v>0</v>
      </c>
      <c r="H20" s="3">
        <f>$H$3+NPV($H$1,$F$4:F20)</f>
        <v>30211.487950485985</v>
      </c>
      <c r="I20" s="2">
        <f t="shared" si="1"/>
        <v>0</v>
      </c>
    </row>
    <row r="21" spans="1:9" x14ac:dyDescent="0.25">
      <c r="A21">
        <v>18</v>
      </c>
      <c r="B21" s="41">
        <f>IF(A21=Blad1!$D$16,Blad1!$D$17,0)</f>
        <v>0</v>
      </c>
      <c r="C21" s="41">
        <f>IF(A21&lt;=Blad1!$D$11,'Average case'!$C$1,0)</f>
        <v>0</v>
      </c>
      <c r="D21" s="41">
        <f t="shared" si="2"/>
        <v>3000</v>
      </c>
      <c r="E21" s="41">
        <f>Blad1!D43</f>
        <v>0</v>
      </c>
      <c r="F21" s="41">
        <f t="shared" si="0"/>
        <v>3000</v>
      </c>
      <c r="G21" s="41">
        <f>IF(A21&lt;=Blad1!$D$16,SUM(B21:E21),0)</f>
        <v>0</v>
      </c>
      <c r="H21" s="3">
        <f>$H$3+NPV($H$1,$F$4:F21)</f>
        <v>31826.571369136931</v>
      </c>
      <c r="I21" s="2">
        <f t="shared" si="1"/>
        <v>0</v>
      </c>
    </row>
    <row r="22" spans="1:9" x14ac:dyDescent="0.25">
      <c r="A22">
        <v>19</v>
      </c>
      <c r="B22" s="41">
        <f>IF(A22=Blad1!$D$16,Blad1!$D$17,0)</f>
        <v>0</v>
      </c>
      <c r="C22" s="41">
        <f>IF(A22&lt;=Blad1!$D$11,'Average case'!$C$1,0)</f>
        <v>0</v>
      </c>
      <c r="D22" s="41">
        <f t="shared" si="2"/>
        <v>3000</v>
      </c>
      <c r="E22" s="41">
        <f>Blad1!D44</f>
        <v>0</v>
      </c>
      <c r="F22" s="41">
        <f t="shared" si="0"/>
        <v>3000</v>
      </c>
      <c r="G22" s="41">
        <f>IF(A22&lt;=Blad1!$D$16,SUM(B22:E22),0)</f>
        <v>0</v>
      </c>
      <c r="H22" s="3">
        <f>$H$3+NPV($H$1,$F$4:F22)</f>
        <v>33387.038440297263</v>
      </c>
      <c r="I22" s="2">
        <f t="shared" si="1"/>
        <v>0</v>
      </c>
    </row>
    <row r="23" spans="1:9" x14ac:dyDescent="0.25">
      <c r="A23">
        <v>20</v>
      </c>
      <c r="B23" s="41">
        <f>IF(A23=Blad1!$D$16,Blad1!$D$17,0)</f>
        <v>0</v>
      </c>
      <c r="C23" s="41">
        <f>IF(A23&lt;=Blad1!$D$11,'Average case'!$C$1,0)</f>
        <v>0</v>
      </c>
      <c r="D23" s="41">
        <f t="shared" si="2"/>
        <v>3000</v>
      </c>
      <c r="E23" s="41">
        <f>Blad1!D45</f>
        <v>0</v>
      </c>
      <c r="F23" s="41">
        <f t="shared" si="0"/>
        <v>3000</v>
      </c>
      <c r="G23" s="41">
        <f>IF(A23&lt;=Blad1!$D$16,SUM(B23:E23),0)</f>
        <v>0</v>
      </c>
      <c r="H23" s="3">
        <f>$H$3+NPV($H$1,$F$4:F23)</f>
        <v>34894.736093592277</v>
      </c>
      <c r="I23" s="2">
        <f t="shared" si="1"/>
        <v>0</v>
      </c>
    </row>
    <row r="24" spans="1:9" x14ac:dyDescent="0.25">
      <c r="A24">
        <v>21</v>
      </c>
      <c r="B24" s="41">
        <f>IF(A24=Blad1!$D$16,Blad1!$D$17,0)</f>
        <v>0</v>
      </c>
      <c r="C24" s="41">
        <f>IF(A24&lt;=Blad1!$D$11,'Average case'!$C$1,0)</f>
        <v>0</v>
      </c>
      <c r="D24" s="41">
        <f t="shared" si="2"/>
        <v>3000</v>
      </c>
      <c r="E24" s="41">
        <f>Blad1!D46</f>
        <v>0</v>
      </c>
      <c r="F24" s="41">
        <f t="shared" si="0"/>
        <v>3000</v>
      </c>
      <c r="G24" s="41">
        <f>IF(A24&lt;=Blad1!$D$16,SUM(B24:E24),0)</f>
        <v>0</v>
      </c>
      <c r="H24" s="3">
        <f>$H$3+NPV($H$1,$F$4:F24)</f>
        <v>36351.448802089879</v>
      </c>
      <c r="I24" s="2">
        <f t="shared" si="1"/>
        <v>0</v>
      </c>
    </row>
    <row r="25" spans="1:9" x14ac:dyDescent="0.25">
      <c r="A25">
        <v>22</v>
      </c>
      <c r="B25" s="41">
        <f>IF(A25=Blad1!$D$16,Blad1!$D$17,0)</f>
        <v>0</v>
      </c>
      <c r="C25" s="41">
        <f>IF(A25&lt;=Blad1!$D$11,'Average case'!$C$1,0)</f>
        <v>0</v>
      </c>
      <c r="D25" s="41">
        <f t="shared" si="2"/>
        <v>3000</v>
      </c>
      <c r="E25" s="41">
        <f>Blad1!D47</f>
        <v>0</v>
      </c>
      <c r="F25" s="41">
        <f t="shared" si="0"/>
        <v>3000</v>
      </c>
      <c r="G25" s="41">
        <f>IF(A25&lt;=Blad1!$D$16,SUM(B25:E25),0)</f>
        <v>0</v>
      </c>
      <c r="H25" s="3">
        <f>$H$3+NPV($H$1,$F$4:F25)</f>
        <v>37758.900694358083</v>
      </c>
      <c r="I25" s="2">
        <f t="shared" si="1"/>
        <v>0</v>
      </c>
    </row>
    <row r="26" spans="1:9" x14ac:dyDescent="0.25">
      <c r="A26">
        <v>23</v>
      </c>
      <c r="B26" s="41">
        <f>IF(A26=Blad1!$D$16,Blad1!$D$17,0)</f>
        <v>0</v>
      </c>
      <c r="C26" s="41">
        <f>IF(A26&lt;=Blad1!$D$11,'Average case'!$C$1,0)</f>
        <v>0</v>
      </c>
      <c r="D26" s="41">
        <f t="shared" si="2"/>
        <v>3000</v>
      </c>
      <c r="E26" s="41">
        <f>Blad1!D48</f>
        <v>0</v>
      </c>
      <c r="F26" s="41">
        <f t="shared" si="0"/>
        <v>3000</v>
      </c>
      <c r="G26" s="41">
        <f>IF(A26&lt;=Blad1!$D$16,SUM(B26:E26),0)</f>
        <v>0</v>
      </c>
      <c r="H26" s="3">
        <f>$H$3+NPV($H$1,$F$4:F26)</f>
        <v>39118.757595100316</v>
      </c>
      <c r="I26" s="2">
        <f t="shared" si="1"/>
        <v>0</v>
      </c>
    </row>
    <row r="27" spans="1:9" x14ac:dyDescent="0.25">
      <c r="A27">
        <v>24</v>
      </c>
      <c r="B27" s="41">
        <f>IF(A27=Blad1!$D$16,Blad1!$D$17,0)</f>
        <v>0</v>
      </c>
      <c r="C27" s="41">
        <f>IF(A27&lt;=Blad1!$D$11,'Average case'!$C$1,0)</f>
        <v>0</v>
      </c>
      <c r="D27" s="41">
        <f t="shared" si="2"/>
        <v>3000</v>
      </c>
      <c r="E27" s="41">
        <f>Blad1!D49</f>
        <v>0</v>
      </c>
      <c r="F27" s="41">
        <f t="shared" si="0"/>
        <v>3000</v>
      </c>
      <c r="G27" s="41">
        <f>IF(A27&lt;=Blad1!$D$16,SUM(B27:E27),0)</f>
        <v>0</v>
      </c>
      <c r="H27" s="3">
        <f>$H$3+NPV($H$1,$F$4:F27)</f>
        <v>40432.628996783635</v>
      </c>
      <c r="I27" s="2">
        <f t="shared" si="1"/>
        <v>0</v>
      </c>
    </row>
    <row r="28" spans="1:9" x14ac:dyDescent="0.25">
      <c r="A28">
        <v>25</v>
      </c>
      <c r="B28" s="41">
        <f>IF(A28=Blad1!$D$16,Blad1!$D$17,0)</f>
        <v>0</v>
      </c>
      <c r="C28" s="41">
        <f>IF(A28&lt;=Blad1!$D$11,'Average case'!$C$1,0)</f>
        <v>0</v>
      </c>
      <c r="D28" s="41">
        <f t="shared" si="2"/>
        <v>3000</v>
      </c>
      <c r="E28" s="41">
        <f>Blad1!D50</f>
        <v>0</v>
      </c>
      <c r="F28" s="41">
        <f t="shared" si="0"/>
        <v>3000</v>
      </c>
      <c r="G28" s="41">
        <f>IF(A28&lt;=Blad1!$D$16,SUM(B28:E28),0)</f>
        <v>0</v>
      </c>
      <c r="H28" s="3">
        <f>$H$3+NPV($H$1,$F$4:F28)</f>
        <v>41702.069964593604</v>
      </c>
      <c r="I28" s="2">
        <f t="shared" si="1"/>
        <v>0</v>
      </c>
    </row>
    <row r="29" spans="1:9" x14ac:dyDescent="0.25">
      <c r="A29">
        <v>26</v>
      </c>
      <c r="B29" s="41">
        <f>IF(A29=Blad1!$D$16,Blad1!$D$17,0)</f>
        <v>0</v>
      </c>
      <c r="C29" s="41">
        <f>IF(A29&lt;=Blad1!$D$11,'Average case'!$C$1,0)</f>
        <v>0</v>
      </c>
      <c r="D29" s="41">
        <f t="shared" si="2"/>
        <v>3000</v>
      </c>
      <c r="E29" s="41">
        <f>Blad1!D51</f>
        <v>0</v>
      </c>
      <c r="F29" s="41">
        <f t="shared" si="0"/>
        <v>3000</v>
      </c>
      <c r="G29" s="41">
        <f>IF(A29&lt;=Blad1!$D$16,SUM(B29:E29),0)</f>
        <v>0</v>
      </c>
      <c r="H29" s="3">
        <f>$H$3+NPV($H$1,$F$4:F29)</f>
        <v>42928.582976970385</v>
      </c>
      <c r="I29" s="2">
        <f t="shared" si="1"/>
        <v>0</v>
      </c>
    </row>
    <row r="30" spans="1:9" x14ac:dyDescent="0.25">
      <c r="A30">
        <v>27</v>
      </c>
      <c r="B30" s="41">
        <f>IF(A30=Blad1!$D$16,Blad1!$D$17,0)</f>
        <v>0</v>
      </c>
      <c r="C30" s="41">
        <f>IF(A30&lt;=Blad1!$D$11,'Average case'!$C$1,0)</f>
        <v>0</v>
      </c>
      <c r="D30" s="41">
        <f t="shared" si="2"/>
        <v>3000</v>
      </c>
      <c r="E30" s="41">
        <f>Blad1!D52</f>
        <v>0</v>
      </c>
      <c r="F30" s="41">
        <f t="shared" si="0"/>
        <v>3000</v>
      </c>
      <c r="G30" s="41">
        <f>IF(A30&lt;=Blad1!$D$16,SUM(B30:E30),0)</f>
        <v>0</v>
      </c>
      <c r="H30" s="3">
        <f>$H$3+NPV($H$1,$F$4:F30)</f>
        <v>44113.619703904478</v>
      </c>
      <c r="I30" s="2">
        <f t="shared" si="1"/>
        <v>0</v>
      </c>
    </row>
    <row r="31" spans="1:9" x14ac:dyDescent="0.25">
      <c r="A31">
        <v>28</v>
      </c>
      <c r="B31" s="41">
        <f>IF(A31=Blad1!$D$16,Blad1!$D$17,0)</f>
        <v>0</v>
      </c>
      <c r="C31" s="41">
        <f>IF(A31&lt;=Blad1!$D$11,'Average case'!$C$1,0)</f>
        <v>0</v>
      </c>
      <c r="D31" s="41">
        <f t="shared" si="2"/>
        <v>3000</v>
      </c>
      <c r="E31" s="41">
        <f>Blad1!D53</f>
        <v>0</v>
      </c>
      <c r="F31" s="41">
        <f t="shared" si="0"/>
        <v>3000</v>
      </c>
      <c r="G31" s="41">
        <f>IF(A31&lt;=Blad1!$D$16,SUM(B31:E31),0)</f>
        <v>0</v>
      </c>
      <c r="H31" s="3">
        <f>$H$3+NPV($H$1,$F$4:F31)</f>
        <v>45258.582725096829</v>
      </c>
      <c r="I31" s="2">
        <f t="shared" si="1"/>
        <v>0</v>
      </c>
    </row>
    <row r="32" spans="1:9" x14ac:dyDescent="0.25">
      <c r="A32">
        <v>29</v>
      </c>
      <c r="B32" s="41">
        <f>IF(A32=Blad1!$D$16,Blad1!$D$17,0)</f>
        <v>0</v>
      </c>
      <c r="C32" s="41">
        <f>IF(A32&lt;=Blad1!$D$11,'Average case'!$C$1,0)</f>
        <v>0</v>
      </c>
      <c r="D32" s="41">
        <f t="shared" si="2"/>
        <v>3000</v>
      </c>
      <c r="E32" s="41">
        <f>Blad1!D54</f>
        <v>0</v>
      </c>
      <c r="F32" s="41">
        <f t="shared" si="0"/>
        <v>3000</v>
      </c>
      <c r="G32" s="41">
        <f>IF(A32&lt;=Blad1!$D$16,SUM(B32:E32),0)</f>
        <v>0</v>
      </c>
      <c r="H32" s="3">
        <f>$H$3+NPV($H$1,$F$4:F32)</f>
        <v>46364.827190016978</v>
      </c>
      <c r="I32" s="2">
        <f t="shared" si="1"/>
        <v>0</v>
      </c>
    </row>
    <row r="33" spans="1:9" x14ac:dyDescent="0.25">
      <c r="A33">
        <v>30</v>
      </c>
      <c r="B33" s="41">
        <f>IF(A33=Blad1!$D$16,Blad1!$D$17,0)</f>
        <v>0</v>
      </c>
      <c r="C33" s="41">
        <f>IF(A33&lt;=Blad1!$D$11,'Average case'!$C$1,0)</f>
        <v>0</v>
      </c>
      <c r="D33" s="41">
        <f t="shared" si="2"/>
        <v>3000</v>
      </c>
      <c r="E33" s="41">
        <f>Blad1!D55</f>
        <v>0</v>
      </c>
      <c r="F33" s="41">
        <f t="shared" si="0"/>
        <v>3000</v>
      </c>
      <c r="G33" s="41">
        <f>IF(A33&lt;=Blad1!$D$16,SUM(B33:E33),0)</f>
        <v>0</v>
      </c>
      <c r="H33" s="3">
        <f>$H$3+NPV($H$1,$F$4:F33)</f>
        <v>47433.662421823887</v>
      </c>
      <c r="I33" s="2">
        <f t="shared" si="1"/>
        <v>0</v>
      </c>
    </row>
    <row r="34" spans="1:9" x14ac:dyDescent="0.25">
      <c r="A34">
        <v>31</v>
      </c>
      <c r="B34" s="41">
        <f>IF(A34=Blad1!$D$16,Blad1!$D$17,0)</f>
        <v>0</v>
      </c>
      <c r="C34" s="41">
        <f>IF(A34&lt;=Blad1!$D$11,'Average case'!$C$1,0)</f>
        <v>0</v>
      </c>
      <c r="D34" s="41">
        <f t="shared" si="2"/>
        <v>3000</v>
      </c>
      <c r="E34" s="41">
        <f>Blad1!D56</f>
        <v>0</v>
      </c>
      <c r="F34" s="41">
        <f t="shared" si="0"/>
        <v>3000</v>
      </c>
      <c r="G34" s="41">
        <f>IF(A34&lt;=Blad1!$D$16,SUM(B34:E34),0)</f>
        <v>0</v>
      </c>
      <c r="H34" s="3">
        <f>$H$3+NPV($H$1,$F$4:F34)</f>
        <v>48466.353467047957</v>
      </c>
      <c r="I34" s="2">
        <f t="shared" si="1"/>
        <v>0</v>
      </c>
    </row>
    <row r="35" spans="1:9" x14ac:dyDescent="0.25">
      <c r="A35">
        <v>32</v>
      </c>
      <c r="B35" s="41">
        <f>IF(A35=Blad1!$D$16,Blad1!$D$17,0)</f>
        <v>0</v>
      </c>
      <c r="C35" s="41">
        <f>IF(A35&lt;=Blad1!$D$11,'Average case'!$C$1,0)</f>
        <v>0</v>
      </c>
      <c r="D35" s="41">
        <f t="shared" si="2"/>
        <v>3000</v>
      </c>
      <c r="E35" s="41">
        <f>Blad1!D57</f>
        <v>0</v>
      </c>
      <c r="F35" s="41">
        <f t="shared" si="0"/>
        <v>3000</v>
      </c>
      <c r="G35" s="41">
        <f>IF(A35&lt;=Blad1!$D$16,SUM(B35:E35),0)</f>
        <v>0</v>
      </c>
      <c r="H35" s="3">
        <f>$H$3+NPV($H$1,$F$4:F35)</f>
        <v>49464.122592868305</v>
      </c>
      <c r="I35" s="2">
        <f t="shared" si="1"/>
        <v>0</v>
      </c>
    </row>
    <row r="36" spans="1:9" x14ac:dyDescent="0.25">
      <c r="A36">
        <v>33</v>
      </c>
      <c r="B36" s="41">
        <f>IF(A36=Blad1!$D$16,Blad1!$D$17,0)</f>
        <v>0</v>
      </c>
      <c r="C36" s="41">
        <f>IF(A36&lt;=Blad1!$D$11,'Average case'!$C$1,0)</f>
        <v>0</v>
      </c>
      <c r="D36" s="41">
        <f t="shared" si="2"/>
        <v>3000</v>
      </c>
      <c r="E36" s="41">
        <f>Blad1!D58</f>
        <v>0</v>
      </c>
      <c r="F36" s="41">
        <f t="shared" si="0"/>
        <v>3000</v>
      </c>
      <c r="G36" s="41">
        <f>IF(A36&lt;=Blad1!$D$16,SUM(B36:E36),0)</f>
        <v>0</v>
      </c>
      <c r="H36" s="3">
        <f>$H$3+NPV($H$1,$F$4:F36)</f>
        <v>50428.150733757539</v>
      </c>
      <c r="I36" s="2">
        <f t="shared" si="1"/>
        <v>0</v>
      </c>
    </row>
    <row r="37" spans="1:9" x14ac:dyDescent="0.25">
      <c r="A37">
        <v>34</v>
      </c>
      <c r="B37" s="41">
        <f>IF(A37=Blad1!$D$16,Blad1!$D$17,0)</f>
        <v>0</v>
      </c>
      <c r="C37" s="41">
        <f>IF(A37&lt;=Blad1!$D$11,'Average case'!$C$1,0)</f>
        <v>0</v>
      </c>
      <c r="D37" s="41">
        <f t="shared" si="2"/>
        <v>3000</v>
      </c>
      <c r="E37" s="41">
        <f>Blad1!D59</f>
        <v>0</v>
      </c>
      <c r="F37" s="41">
        <f t="shared" si="0"/>
        <v>3000</v>
      </c>
      <c r="G37" s="41">
        <f>IF(A37&lt;=Blad1!$D$16,SUM(B37:E37),0)</f>
        <v>0</v>
      </c>
      <c r="H37" s="3">
        <f>$H$3+NPV($H$1,$F$4:F37)</f>
        <v>51359.578889206074</v>
      </c>
      <c r="I37" s="2">
        <f t="shared" si="1"/>
        <v>0</v>
      </c>
    </row>
    <row r="38" spans="1:9" x14ac:dyDescent="0.25">
      <c r="A38">
        <v>35</v>
      </c>
      <c r="B38" s="41">
        <f>IF(A38=Blad1!$D$16,Blad1!$D$17,0)</f>
        <v>0</v>
      </c>
      <c r="C38" s="41">
        <f>IF(A38&lt;=Blad1!$D$11,'Average case'!$C$1,0)</f>
        <v>0</v>
      </c>
      <c r="D38" s="41">
        <f t="shared" si="2"/>
        <v>3000</v>
      </c>
      <c r="E38" s="41">
        <f>Blad1!D60</f>
        <v>0</v>
      </c>
      <c r="F38" s="41">
        <f t="shared" si="0"/>
        <v>3000</v>
      </c>
      <c r="G38" s="41">
        <f>IF(A38&lt;=Blad1!$D$16,SUM(B38:E38),0)</f>
        <v>0</v>
      </c>
      <c r="H38" s="3">
        <f>$H$3+NPV($H$1,$F$4:F38)</f>
        <v>52259.509474180493</v>
      </c>
      <c r="I38" s="2">
        <f t="shared" si="1"/>
        <v>0</v>
      </c>
    </row>
    <row r="39" spans="1:9" x14ac:dyDescent="0.25">
      <c r="A39">
        <v>36</v>
      </c>
      <c r="B39" s="41">
        <f>IF(A39=Blad1!$D$16,Blad1!$D$17,0)</f>
        <v>0</v>
      </c>
      <c r="C39" s="41">
        <f>IF(A39&lt;=Blad1!$D$11,'Average case'!$C$1,0)</f>
        <v>0</v>
      </c>
      <c r="D39" s="41">
        <f t="shared" si="2"/>
        <v>3000</v>
      </c>
      <c r="E39" s="41">
        <f>Blad1!D61</f>
        <v>0</v>
      </c>
      <c r="F39" s="41">
        <f t="shared" si="0"/>
        <v>3000</v>
      </c>
      <c r="G39" s="41">
        <f>IF(A39&lt;=Blad1!$D$16,SUM(B39:E39),0)</f>
        <v>0</v>
      </c>
      <c r="H39" s="3">
        <f>$H$3+NPV($H$1,$F$4:F39)</f>
        <v>53129.007623914244</v>
      </c>
      <c r="I39" s="2">
        <f t="shared" si="1"/>
        <v>0</v>
      </c>
    </row>
    <row r="40" spans="1:9" x14ac:dyDescent="0.25">
      <c r="A40">
        <v>37</v>
      </c>
      <c r="B40" s="41">
        <f>IF(A40=Blad1!$D$16,Blad1!$D$17,0)</f>
        <v>0</v>
      </c>
      <c r="C40" s="41">
        <f>IF(A40&lt;=Blad1!$D$11,'Average case'!$C$1,0)</f>
        <v>0</v>
      </c>
      <c r="D40" s="41">
        <f t="shared" si="2"/>
        <v>3000</v>
      </c>
      <c r="E40" s="41">
        <f>Blad1!D62</f>
        <v>0</v>
      </c>
      <c r="F40" s="41">
        <f t="shared" si="0"/>
        <v>3000</v>
      </c>
      <c r="G40" s="41">
        <f>IF(A40&lt;=Blad1!$D$16,SUM(B40:E40),0)</f>
        <v>0</v>
      </c>
      <c r="H40" s="3">
        <f>$H$3+NPV($H$1,$F$4:F40)</f>
        <v>53969.102454574866</v>
      </c>
      <c r="I40" s="2">
        <f t="shared" si="1"/>
        <v>0</v>
      </c>
    </row>
    <row r="41" spans="1:9" x14ac:dyDescent="0.25">
      <c r="A41">
        <v>38</v>
      </c>
      <c r="B41" s="41">
        <f>IF(A41=Blad1!$D$16,Blad1!$D$17,0)</f>
        <v>0</v>
      </c>
      <c r="C41" s="41">
        <f>IF(A41&lt;=Blad1!$D$11,'Average case'!$C$1,0)</f>
        <v>0</v>
      </c>
      <c r="D41" s="41">
        <f t="shared" si="2"/>
        <v>3000</v>
      </c>
      <c r="E41" s="41">
        <f>Blad1!D63</f>
        <v>0</v>
      </c>
      <c r="F41" s="41">
        <f t="shared" si="0"/>
        <v>3000</v>
      </c>
      <c r="G41" s="41">
        <f>IF(A41&lt;=Blad1!$D$16,SUM(B41:E41),0)</f>
        <v>0</v>
      </c>
      <c r="H41" s="3">
        <f>$H$3+NPV($H$1,$F$4:F41)</f>
        <v>54780.788281300112</v>
      </c>
      <c r="I41" s="2">
        <f t="shared" si="1"/>
        <v>0</v>
      </c>
    </row>
    <row r="42" spans="1:9" x14ac:dyDescent="0.25">
      <c r="A42">
        <v>39</v>
      </c>
      <c r="B42" s="41">
        <f>IF(A42=Blad1!$D$16,Blad1!$D$17,0)</f>
        <v>0</v>
      </c>
      <c r="C42" s="41">
        <f>IF(A42&lt;=Blad1!$D$11,'Average case'!$C$1,0)</f>
        <v>0</v>
      </c>
      <c r="D42" s="41">
        <f t="shared" si="2"/>
        <v>3000</v>
      </c>
      <c r="E42" s="41">
        <f>Blad1!D64</f>
        <v>0</v>
      </c>
      <c r="F42" s="41">
        <f t="shared" si="0"/>
        <v>3000</v>
      </c>
      <c r="G42" s="41">
        <f>IF(A42&lt;=Blad1!$D$16,SUM(B42:E42),0)</f>
        <v>0</v>
      </c>
      <c r="H42" s="3">
        <f>$H$3+NPV($H$1,$F$4:F42)</f>
        <v>55565.025795044305</v>
      </c>
      <c r="I42" s="2">
        <f t="shared" si="1"/>
        <v>0</v>
      </c>
    </row>
    <row r="43" spans="1:9" x14ac:dyDescent="0.25">
      <c r="A43">
        <v>40</v>
      </c>
      <c r="B43" s="41">
        <f>IF(A43=Blad1!$D$16,Blad1!$D$17,0)</f>
        <v>0</v>
      </c>
      <c r="C43" s="41">
        <f>IF(A43&lt;=Blad1!$D$11,'Average case'!$C$1,0)</f>
        <v>0</v>
      </c>
      <c r="D43" s="41">
        <f t="shared" si="2"/>
        <v>3000</v>
      </c>
      <c r="E43" s="41">
        <f>Blad1!D65</f>
        <v>0</v>
      </c>
      <c r="F43" s="41">
        <f t="shared" si="0"/>
        <v>3000</v>
      </c>
      <c r="G43" s="41">
        <f>IF(A43&lt;=Blad1!$D$16,SUM(B43:E43),0)</f>
        <v>0</v>
      </c>
      <c r="H43" s="3">
        <f>$H$3+NPV($H$1,$F$4:F43)</f>
        <v>56322.743199628065</v>
      </c>
      <c r="I43" s="2">
        <f t="shared" si="1"/>
        <v>0</v>
      </c>
    </row>
    <row r="44" spans="1:9" x14ac:dyDescent="0.25">
      <c r="A44">
        <v>41</v>
      </c>
      <c r="B44" s="41">
        <f>IF(A44=Blad1!$D$16,Blad1!$D$17,0)</f>
        <v>0</v>
      </c>
      <c r="C44" s="41">
        <f>IF(A44&lt;=Blad1!$D$11,'Average case'!$C$1,0)</f>
        <v>0</v>
      </c>
      <c r="D44" s="41">
        <f t="shared" si="2"/>
        <v>3000</v>
      </c>
      <c r="E44" s="41">
        <f>Blad1!D66</f>
        <v>0</v>
      </c>
      <c r="F44" s="41">
        <f t="shared" si="0"/>
        <v>3000</v>
      </c>
      <c r="G44" s="41">
        <f>IF(A44&lt;=Blad1!$D$16,SUM(B44:E44),0)</f>
        <v>0</v>
      </c>
      <c r="H44" s="3">
        <f>$H$3+NPV($H$1,$F$4:F44)</f>
        <v>57054.83731033701</v>
      </c>
      <c r="I44" s="2">
        <f t="shared" si="1"/>
        <v>0</v>
      </c>
    </row>
    <row r="45" spans="1:9" x14ac:dyDescent="0.25">
      <c r="A45">
        <v>42</v>
      </c>
      <c r="B45" s="41">
        <f>IF(A45=Blad1!$D$16,Blad1!$D$17,0)</f>
        <v>0</v>
      </c>
      <c r="C45" s="41">
        <f>IF(A45&lt;=Blad1!$D$11,'Average case'!$C$1,0)</f>
        <v>0</v>
      </c>
      <c r="D45" s="41">
        <f t="shared" si="2"/>
        <v>3000</v>
      </c>
      <c r="E45" s="41">
        <f>Blad1!D67</f>
        <v>0</v>
      </c>
      <c r="F45" s="41">
        <f t="shared" si="0"/>
        <v>3000</v>
      </c>
      <c r="G45" s="41">
        <f>IF(A45&lt;=Blad1!$D$16,SUM(B45:E45),0)</f>
        <v>0</v>
      </c>
      <c r="H45" s="3">
        <f>$H$3+NPV($H$1,$F$4:F45)</f>
        <v>57762.174615369819</v>
      </c>
      <c r="I45" s="2">
        <f t="shared" si="1"/>
        <v>0</v>
      </c>
    </row>
    <row r="46" spans="1:9" x14ac:dyDescent="0.25">
      <c r="A46">
        <v>43</v>
      </c>
      <c r="B46" s="41">
        <f>IF(A46=Blad1!$D$16,Blad1!$D$17,0)</f>
        <v>0</v>
      </c>
      <c r="C46" s="41">
        <f>IF(A46&lt;=Blad1!$D$11,'Average case'!$C$1,0)</f>
        <v>0</v>
      </c>
      <c r="D46" s="41">
        <f t="shared" si="2"/>
        <v>3000</v>
      </c>
      <c r="E46" s="41">
        <f>Blad1!D68</f>
        <v>0</v>
      </c>
      <c r="F46" s="41">
        <f t="shared" si="0"/>
        <v>3000</v>
      </c>
      <c r="G46" s="41">
        <f>IF(A46&lt;=Blad1!$D$16,SUM(B46:E46),0)</f>
        <v>0</v>
      </c>
      <c r="H46" s="3">
        <f>$H$3+NPV($H$1,$F$4:F46)</f>
        <v>58445.592301391836</v>
      </c>
      <c r="I46" s="2">
        <f t="shared" si="1"/>
        <v>0</v>
      </c>
    </row>
    <row r="47" spans="1:9" x14ac:dyDescent="0.25">
      <c r="A47">
        <v>44</v>
      </c>
      <c r="B47" s="41">
        <f>IF(A47=Blad1!$D$16,Blad1!$D$17,0)</f>
        <v>0</v>
      </c>
      <c r="C47" s="41">
        <f>IF(A47&lt;=Blad1!$D$11,'Average case'!$C$1,0)</f>
        <v>0</v>
      </c>
      <c r="D47" s="41">
        <f t="shared" si="2"/>
        <v>3000</v>
      </c>
      <c r="E47" s="41">
        <f>Blad1!D69</f>
        <v>0</v>
      </c>
      <c r="F47" s="41">
        <f t="shared" si="0"/>
        <v>3000</v>
      </c>
      <c r="G47" s="41">
        <f>IF(A47&lt;=Blad1!$D$16,SUM(B47:E47),0)</f>
        <v>0</v>
      </c>
      <c r="H47" s="3">
        <f>$H$3+NPV($H$1,$F$4:F47)</f>
        <v>59105.899244408298</v>
      </c>
      <c r="I47" s="2">
        <f t="shared" si="1"/>
        <v>0</v>
      </c>
    </row>
    <row r="48" spans="1:9" x14ac:dyDescent="0.25">
      <c r="A48">
        <v>45</v>
      </c>
      <c r="B48" s="41">
        <f>IF(A48=Blad1!$D$16,Blad1!$D$17,0)</f>
        <v>0</v>
      </c>
      <c r="C48" s="41">
        <f>IF(A48&lt;=Blad1!$D$11,'Average case'!$C$1,0)</f>
        <v>0</v>
      </c>
      <c r="D48" s="41">
        <f t="shared" si="2"/>
        <v>3000</v>
      </c>
      <c r="E48" s="41">
        <f>Blad1!D70</f>
        <v>0</v>
      </c>
      <c r="F48" s="41">
        <f t="shared" si="0"/>
        <v>3000</v>
      </c>
      <c r="G48" s="41">
        <f>IF(A48&lt;=Blad1!$D$16,SUM(B48:E48),0)</f>
        <v>0</v>
      </c>
      <c r="H48" s="3">
        <f>$H$3+NPV($H$1,$F$4:F48)</f>
        <v>59743.876967129501</v>
      </c>
      <c r="I48" s="2">
        <f t="shared" si="1"/>
        <v>0</v>
      </c>
    </row>
    <row r="49" spans="1:9" x14ac:dyDescent="0.25">
      <c r="A49">
        <v>46</v>
      </c>
      <c r="B49" s="41">
        <f>IF(A49=Blad1!$D$16,Blad1!$D$17,0)</f>
        <v>0</v>
      </c>
      <c r="C49" s="41">
        <f>IF(A49&lt;=Blad1!$D$11,'Average case'!$C$1,0)</f>
        <v>0</v>
      </c>
      <c r="D49" s="41">
        <f t="shared" si="2"/>
        <v>3000</v>
      </c>
      <c r="E49" s="41">
        <f>Blad1!D71</f>
        <v>0</v>
      </c>
      <c r="F49" s="41">
        <f t="shared" si="0"/>
        <v>3000</v>
      </c>
      <c r="G49" s="41">
        <f>IF(A49&lt;=Blad1!$D$16,SUM(B49:E49),0)</f>
        <v>0</v>
      </c>
      <c r="H49" s="3">
        <f>$H$3+NPV($H$1,$F$4:F49)</f>
        <v>60360.280563961598</v>
      </c>
      <c r="I49" s="2">
        <f t="shared" si="1"/>
        <v>0</v>
      </c>
    </row>
    <row r="50" spans="1:9" x14ac:dyDescent="0.25">
      <c r="A50">
        <v>47</v>
      </c>
      <c r="B50" s="41">
        <f>IF(A50=Blad1!$D$16,Blad1!$D$17,0)</f>
        <v>0</v>
      </c>
      <c r="C50" s="41">
        <f>IF(A50&lt;=Blad1!$D$11,'Average case'!$C$1,0)</f>
        <v>0</v>
      </c>
      <c r="D50" s="41">
        <f t="shared" si="2"/>
        <v>3000</v>
      </c>
      <c r="E50" s="41">
        <f>Blad1!D72</f>
        <v>0</v>
      </c>
      <c r="F50" s="41">
        <f t="shared" si="0"/>
        <v>3000</v>
      </c>
      <c r="G50" s="41">
        <f>IF(A50&lt;=Blad1!$D$16,SUM(B50:E50),0)</f>
        <v>0</v>
      </c>
      <c r="H50" s="3">
        <f>$H$3+NPV($H$1,$F$4:F50)</f>
        <v>60955.839594717225</v>
      </c>
      <c r="I50" s="2">
        <f t="shared" si="1"/>
        <v>0</v>
      </c>
    </row>
    <row r="51" spans="1:9" x14ac:dyDescent="0.25">
      <c r="A51">
        <v>48</v>
      </c>
      <c r="B51" s="41">
        <f>IF(A51=Blad1!$D$16,Blad1!$D$17,0)</f>
        <v>0</v>
      </c>
      <c r="C51" s="41">
        <f>IF(A51&lt;=Blad1!$D$11,'Average case'!$C$1,0)</f>
        <v>0</v>
      </c>
      <c r="D51" s="41">
        <f t="shared" si="2"/>
        <v>3000</v>
      </c>
      <c r="E51" s="41">
        <f>Blad1!D73</f>
        <v>0</v>
      </c>
      <c r="F51" s="41">
        <f t="shared" si="0"/>
        <v>3000</v>
      </c>
      <c r="G51" s="41">
        <f>IF(A51&lt;=Blad1!$D$16,SUM(B51:E51),0)</f>
        <v>0</v>
      </c>
      <c r="H51" s="3">
        <f>$H$3+NPV($H$1,$F$4:F51)</f>
        <v>61531.258948104325</v>
      </c>
      <c r="I51" s="2">
        <f t="shared" si="1"/>
        <v>0</v>
      </c>
    </row>
    <row r="52" spans="1:9" x14ac:dyDescent="0.25">
      <c r="A52">
        <v>49</v>
      </c>
      <c r="B52" s="37">
        <f>IF(A52=Blad1!$D$16,Blad1!$D$17,0)</f>
        <v>0</v>
      </c>
      <c r="C52" s="37">
        <f>IF(A52&lt;=Blad1!$D$11,'Average case'!$C$1,0)</f>
        <v>0</v>
      </c>
      <c r="D52" s="37">
        <f t="shared" si="2"/>
        <v>3000</v>
      </c>
      <c r="E52" s="37">
        <f>Blad1!D74</f>
        <v>0</v>
      </c>
      <c r="F52" s="37">
        <f t="shared" si="0"/>
        <v>3000</v>
      </c>
      <c r="G52" s="37">
        <f>IF(A52&lt;=Blad1!$D$16,SUM(B52:E52),0)</f>
        <v>0</v>
      </c>
      <c r="H52" s="3">
        <f>$H$3+NPV($H$1,$F$4:F52)</f>
        <v>62087.21967601456</v>
      </c>
      <c r="I52" s="2">
        <f t="shared" si="1"/>
        <v>0</v>
      </c>
    </row>
    <row r="53" spans="1:9" x14ac:dyDescent="0.25">
      <c r="A53">
        <v>50</v>
      </c>
      <c r="B53" s="37">
        <f>IF(A53=Blad1!$D$16,Blad1!$D$17,0)</f>
        <v>0</v>
      </c>
      <c r="C53" s="37">
        <f>IF(A53&lt;=Blad1!$D$11,'Average case'!$C$1,0)</f>
        <v>0</v>
      </c>
      <c r="D53" s="37">
        <f t="shared" si="2"/>
        <v>3000</v>
      </c>
      <c r="E53" s="37">
        <f>Blad1!D75</f>
        <v>0</v>
      </c>
      <c r="F53" s="37">
        <f t="shared" si="0"/>
        <v>3000</v>
      </c>
      <c r="G53" s="37">
        <f>IF(A53&lt;=Blad1!$D$16,SUM(B53:E53),0)</f>
        <v>0</v>
      </c>
      <c r="H53" s="3">
        <f>$H$3+NPV($H$1,$F$4:F53)</f>
        <v>62624.379799599337</v>
      </c>
      <c r="I53" s="2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I14" sqref="I14"/>
    </sheetView>
  </sheetViews>
  <sheetFormatPr defaultRowHeight="15" x14ac:dyDescent="0.25"/>
  <cols>
    <col min="2" max="2" width="11" bestFit="1" customWidth="1"/>
    <col min="8" max="8" width="12.140625" bestFit="1" customWidth="1"/>
  </cols>
  <sheetData>
    <row r="1" spans="1:9" x14ac:dyDescent="0.25">
      <c r="B1">
        <f>Blad1!E14*Blad1!E10*Blad1!E7</f>
        <v>0</v>
      </c>
      <c r="C1">
        <f>Blad1!E7/Blad1!E11*Blad1!E14</f>
        <v>500</v>
      </c>
      <c r="D1">
        <f>(1-Blad1!E14)*(Blad1!E9+Blad1!E8)</f>
        <v>3000</v>
      </c>
      <c r="H1" s="1">
        <f>Blad1!E15-(Blad1!E13*Blad1!E9+Blad1!E8*Blad1!E12)/(Blad1!E8+Blad1!E9)</f>
        <v>0.05</v>
      </c>
      <c r="I1" s="2">
        <f>SUM(I3:I53)</f>
        <v>3.1627500000000004</v>
      </c>
    </row>
    <row r="2" spans="1:9" x14ac:dyDescent="0.25">
      <c r="A2" t="s">
        <v>71</v>
      </c>
      <c r="B2" t="s">
        <v>0</v>
      </c>
      <c r="C2" t="s">
        <v>11</v>
      </c>
      <c r="D2" t="s">
        <v>12</v>
      </c>
      <c r="E2" t="s">
        <v>14</v>
      </c>
      <c r="F2" t="s">
        <v>13</v>
      </c>
      <c r="G2" t="s">
        <v>76</v>
      </c>
      <c r="H2" t="s">
        <v>15</v>
      </c>
      <c r="I2" t="s">
        <v>75</v>
      </c>
    </row>
    <row r="3" spans="1:9" x14ac:dyDescent="0.25">
      <c r="A3">
        <v>0</v>
      </c>
      <c r="B3">
        <f>-1*Blad1!E7</f>
        <v>-10000</v>
      </c>
      <c r="E3">
        <f>Blad1!E25</f>
        <v>0</v>
      </c>
      <c r="F3">
        <f>SUM(B3:E3)</f>
        <v>-10000</v>
      </c>
      <c r="G3">
        <f>IF(A3&lt;=Blad1!$E$16,SUM(B3:E3),0)</f>
        <v>-10000</v>
      </c>
      <c r="H3" s="3">
        <f>F3</f>
        <v>-10000</v>
      </c>
      <c r="I3" s="2">
        <f>IF(AND(H3&lt;0,H4&gt;=0),A3+-1*H3/(H4-H3),0)</f>
        <v>0</v>
      </c>
    </row>
    <row r="4" spans="1:9" x14ac:dyDescent="0.25">
      <c r="A4">
        <v>1</v>
      </c>
      <c r="B4">
        <f>B1</f>
        <v>0</v>
      </c>
      <c r="C4">
        <f>IF(A4&lt;=Blad1!$E$11,'Worst case'!$C$1,0)</f>
        <v>500</v>
      </c>
      <c r="D4">
        <f>$D$1</f>
        <v>3000</v>
      </c>
      <c r="E4">
        <f>Blad1!E26</f>
        <v>0</v>
      </c>
      <c r="F4">
        <f t="shared" ref="F4:F53" si="0">SUM(B4:E4)</f>
        <v>3500</v>
      </c>
      <c r="G4">
        <f>IF(A4&lt;=Blad1!$E$16,SUM(B4:E4),0)</f>
        <v>3500</v>
      </c>
      <c r="H4" s="3">
        <f>$H$3+NPV($H$1,F4)</f>
        <v>-6666.666666666667</v>
      </c>
      <c r="I4" s="2">
        <f t="shared" ref="I4:I53" si="1">IF(AND(H4&lt;0,H5&gt;=0),A4+-1*H4/(H5-H4),0)</f>
        <v>0</v>
      </c>
    </row>
    <row r="5" spans="1:9" x14ac:dyDescent="0.25">
      <c r="A5">
        <v>2</v>
      </c>
      <c r="B5">
        <f>IF(A5=Blad1!$E$16,Blad1!$E$17,0)</f>
        <v>0</v>
      </c>
      <c r="C5">
        <f>IF(A5&lt;=Blad1!$E$11,'Worst case'!$C$1,0)</f>
        <v>500</v>
      </c>
      <c r="D5">
        <f t="shared" ref="D5:D53" si="2">$D$1</f>
        <v>3000</v>
      </c>
      <c r="E5">
        <f>Blad1!E27</f>
        <v>0</v>
      </c>
      <c r="F5">
        <f t="shared" si="0"/>
        <v>3500</v>
      </c>
      <c r="G5">
        <f>IF(A5&lt;=Blad1!$E$16,SUM(B5:E5),0)</f>
        <v>3500</v>
      </c>
      <c r="H5" s="3">
        <f>$H$3+NPV($H$1,$F$4:F5)</f>
        <v>-3492.063492063493</v>
      </c>
      <c r="I5" s="2">
        <f t="shared" si="1"/>
        <v>0</v>
      </c>
    </row>
    <row r="6" spans="1:9" x14ac:dyDescent="0.25">
      <c r="A6">
        <v>3</v>
      </c>
      <c r="B6">
        <f>IF(A6=Blad1!$E$16,Blad1!$E$17,0)</f>
        <v>0</v>
      </c>
      <c r="C6">
        <f>IF(A6&lt;=Blad1!$E$11,'Worst case'!$C$1,0)</f>
        <v>500</v>
      </c>
      <c r="D6">
        <f t="shared" si="2"/>
        <v>3000</v>
      </c>
      <c r="E6">
        <f>Blad1!E28</f>
        <v>0</v>
      </c>
      <c r="F6">
        <f t="shared" si="0"/>
        <v>3500</v>
      </c>
      <c r="G6">
        <f>IF(A6&lt;=Blad1!$E$16,SUM(B6:E6),0)</f>
        <v>3500</v>
      </c>
      <c r="H6" s="3">
        <f>$H$3+NPV($H$1,$F$4:F6)</f>
        <v>-468.63189720332775</v>
      </c>
      <c r="I6" s="2">
        <f t="shared" si="1"/>
        <v>3.1627500000000004</v>
      </c>
    </row>
    <row r="7" spans="1:9" x14ac:dyDescent="0.25">
      <c r="A7">
        <v>4</v>
      </c>
      <c r="B7">
        <f>IF(A7=Blad1!$E$16,Blad1!$E$17,0)</f>
        <v>0</v>
      </c>
      <c r="C7">
        <f>IF(A7&lt;=Blad1!$E$11,'Worst case'!$C$1,0)</f>
        <v>500</v>
      </c>
      <c r="D7">
        <f t="shared" si="2"/>
        <v>3000</v>
      </c>
      <c r="E7">
        <f>Blad1!E29</f>
        <v>0</v>
      </c>
      <c r="F7">
        <f t="shared" si="0"/>
        <v>3500</v>
      </c>
      <c r="G7">
        <f>IF(A7&lt;=Blad1!$E$16,SUM(B7:E7),0)</f>
        <v>3500</v>
      </c>
      <c r="H7" s="3">
        <f>$H$3+NPV($H$1,$F$4:F7)</f>
        <v>2410.8267645682608</v>
      </c>
      <c r="I7" s="2">
        <f t="shared" si="1"/>
        <v>0</v>
      </c>
    </row>
    <row r="8" spans="1:9" x14ac:dyDescent="0.25">
      <c r="A8">
        <v>5</v>
      </c>
      <c r="B8">
        <f>IF(A8=Blad1!$E$16,Blad1!$E$17,0)</f>
        <v>0</v>
      </c>
      <c r="C8">
        <f>IF(A8&lt;=Blad1!$E$11,'Worst case'!$C$1,0)</f>
        <v>500</v>
      </c>
      <c r="D8">
        <f t="shared" si="2"/>
        <v>3000</v>
      </c>
      <c r="E8">
        <f>Blad1!E30</f>
        <v>0</v>
      </c>
      <c r="F8">
        <f t="shared" si="0"/>
        <v>3500</v>
      </c>
      <c r="G8">
        <f>IF(A8&lt;=Blad1!$E$16,SUM(B8:E8),0)</f>
        <v>3500</v>
      </c>
      <c r="H8" s="3">
        <f>$H$3+NPV($H$1,$F$4:F8)</f>
        <v>5153.1683472078676</v>
      </c>
      <c r="I8" s="2">
        <f t="shared" si="1"/>
        <v>0</v>
      </c>
    </row>
    <row r="9" spans="1:9" x14ac:dyDescent="0.25">
      <c r="A9">
        <v>6</v>
      </c>
      <c r="B9">
        <f>IF(A9=Blad1!$E$16,Blad1!$E$17,0)</f>
        <v>0</v>
      </c>
      <c r="C9">
        <f>IF(A9&lt;=Blad1!$E$11,'Worst case'!$C$1,0)</f>
        <v>0</v>
      </c>
      <c r="D9">
        <f t="shared" si="2"/>
        <v>3000</v>
      </c>
      <c r="E9">
        <f>Blad1!E31</f>
        <v>0</v>
      </c>
      <c r="F9">
        <f t="shared" si="0"/>
        <v>3000</v>
      </c>
      <c r="G9">
        <f>IF(A9&lt;=Blad1!$E$16,SUM(B9:E9),0)</f>
        <v>3000</v>
      </c>
      <c r="H9" s="3">
        <f>$H$3+NPV($H$1,$F$4:F9)</f>
        <v>7391.8145371177488</v>
      </c>
      <c r="I9" s="2">
        <f t="shared" si="1"/>
        <v>0</v>
      </c>
    </row>
    <row r="10" spans="1:9" x14ac:dyDescent="0.25">
      <c r="A10">
        <v>7</v>
      </c>
      <c r="B10">
        <f>IF(A10=Blad1!$E$16,Blad1!$E$17,0)</f>
        <v>0</v>
      </c>
      <c r="C10">
        <f>IF(A10&lt;=Blad1!$E$11,'Worst case'!$C$1,0)</f>
        <v>0</v>
      </c>
      <c r="D10">
        <f t="shared" si="2"/>
        <v>3000</v>
      </c>
      <c r="E10">
        <f>Blad1!E32</f>
        <v>0</v>
      </c>
      <c r="F10">
        <f t="shared" si="0"/>
        <v>3000</v>
      </c>
      <c r="G10">
        <f>IF(A10&lt;=Blad1!$E$16,SUM(B10:E10),0)</f>
        <v>3000</v>
      </c>
      <c r="H10" s="3">
        <f>$H$3+NPV($H$1,$F$4:F10)</f>
        <v>9523.8585275081132</v>
      </c>
      <c r="I10" s="2">
        <f t="shared" si="1"/>
        <v>0</v>
      </c>
    </row>
    <row r="11" spans="1:9" x14ac:dyDescent="0.25">
      <c r="A11">
        <v>8</v>
      </c>
      <c r="B11">
        <f>IF(A11=Blad1!$E$16,Blad1!$E$17,0)</f>
        <v>0</v>
      </c>
      <c r="C11">
        <f>IF(A11&lt;=Blad1!$E$11,'Worst case'!$C$1,0)</f>
        <v>0</v>
      </c>
      <c r="D11">
        <f t="shared" si="2"/>
        <v>3000</v>
      </c>
      <c r="E11">
        <f>Blad1!E33</f>
        <v>0</v>
      </c>
      <c r="F11">
        <f t="shared" si="0"/>
        <v>3000</v>
      </c>
      <c r="G11">
        <f>IF(A11&lt;=Blad1!$E$16,SUM(B11:E11),0)</f>
        <v>3000</v>
      </c>
      <c r="H11" s="3">
        <f>$H$3+NPV($H$1,$F$4:F11)</f>
        <v>11554.376613594173</v>
      </c>
      <c r="I11" s="2">
        <f t="shared" si="1"/>
        <v>0</v>
      </c>
    </row>
    <row r="12" spans="1:9" x14ac:dyDescent="0.25">
      <c r="A12">
        <v>9</v>
      </c>
      <c r="B12">
        <f>IF(A12=Blad1!$E$16,Blad1!$E$17,0)</f>
        <v>0</v>
      </c>
      <c r="C12">
        <f>IF(A12&lt;=Blad1!$E$11,'Worst case'!$C$1,0)</f>
        <v>0</v>
      </c>
      <c r="D12">
        <f t="shared" si="2"/>
        <v>3000</v>
      </c>
      <c r="E12">
        <f>Blad1!E34</f>
        <v>0</v>
      </c>
      <c r="F12">
        <f t="shared" si="0"/>
        <v>3000</v>
      </c>
      <c r="G12">
        <f>IF(A12&lt;=Blad1!$E$16,SUM(B12:E12),0)</f>
        <v>3000</v>
      </c>
      <c r="H12" s="3">
        <f>$H$3+NPV($H$1,$F$4:F12)</f>
        <v>13488.203362247565</v>
      </c>
      <c r="I12" s="2">
        <f t="shared" si="1"/>
        <v>0</v>
      </c>
    </row>
    <row r="13" spans="1:9" x14ac:dyDescent="0.25">
      <c r="A13">
        <v>10</v>
      </c>
      <c r="B13">
        <f>IF(A13=Blad1!$E$16,Blad1!$E$17,0)</f>
        <v>0</v>
      </c>
      <c r="C13">
        <f>IF(A13&lt;=Blad1!$E$11,'Worst case'!$C$1,0)</f>
        <v>0</v>
      </c>
      <c r="D13">
        <f t="shared" si="2"/>
        <v>3000</v>
      </c>
      <c r="E13">
        <f>Blad1!E35</f>
        <v>0</v>
      </c>
      <c r="F13">
        <f t="shared" si="0"/>
        <v>3000</v>
      </c>
      <c r="G13">
        <f>IF(A13&lt;=Blad1!$E$16,SUM(B13:E13),0)</f>
        <v>3000</v>
      </c>
      <c r="H13" s="3">
        <f>$H$3+NPV($H$1,$F$4:F13)</f>
        <v>15329.943122869841</v>
      </c>
      <c r="I13" s="2">
        <f t="shared" si="1"/>
        <v>0</v>
      </c>
    </row>
    <row r="14" spans="1:9" x14ac:dyDescent="0.25">
      <c r="A14">
        <v>11</v>
      </c>
      <c r="B14">
        <f>IF(A14=Blad1!$E$16,Blad1!$E$17,0)</f>
        <v>0</v>
      </c>
      <c r="C14">
        <f>IF(A14&lt;=Blad1!$E$11,'Worst case'!$C$1,0)</f>
        <v>0</v>
      </c>
      <c r="D14">
        <f t="shared" si="2"/>
        <v>3000</v>
      </c>
      <c r="E14">
        <f>Blad1!E36</f>
        <v>0</v>
      </c>
      <c r="F14">
        <f t="shared" si="0"/>
        <v>3000</v>
      </c>
      <c r="G14">
        <f>IF(A14&lt;=Blad1!$E$16,SUM(B14:E14),0)</f>
        <v>3000</v>
      </c>
      <c r="H14" s="3">
        <f>$H$3+NPV($H$1,$F$4:F14)</f>
        <v>17083.980990129152</v>
      </c>
      <c r="I14" s="2">
        <f t="shared" si="1"/>
        <v>0</v>
      </c>
    </row>
    <row r="15" spans="1:9" x14ac:dyDescent="0.25">
      <c r="A15">
        <v>12</v>
      </c>
      <c r="B15">
        <f>IF(A15=Blad1!$E$16,Blad1!$E$17,0)</f>
        <v>0</v>
      </c>
      <c r="C15">
        <f>IF(A15&lt;=Blad1!$E$11,'Worst case'!$C$1,0)</f>
        <v>0</v>
      </c>
      <c r="D15">
        <f t="shared" si="2"/>
        <v>3000</v>
      </c>
      <c r="E15">
        <f>Blad1!E37</f>
        <v>0</v>
      </c>
      <c r="F15">
        <f t="shared" si="0"/>
        <v>3000</v>
      </c>
      <c r="G15">
        <f>IF(A15&lt;=Blad1!$E$16,SUM(B15:E15),0)</f>
        <v>3000</v>
      </c>
      <c r="H15" s="3">
        <f>$H$3+NPV($H$1,$F$4:F15)</f>
        <v>18754.49324466183</v>
      </c>
      <c r="I15" s="2">
        <f t="shared" si="1"/>
        <v>0</v>
      </c>
    </row>
    <row r="16" spans="1:9" x14ac:dyDescent="0.25">
      <c r="A16">
        <v>13</v>
      </c>
      <c r="B16">
        <f>IF(A16=Blad1!$E$16,Blad1!$E$17,0)</f>
        <v>0</v>
      </c>
      <c r="C16">
        <f>IF(A16&lt;=Blad1!$E$11,'Worst case'!$C$1,0)</f>
        <v>0</v>
      </c>
      <c r="D16">
        <f t="shared" si="2"/>
        <v>3000</v>
      </c>
      <c r="E16">
        <f>Blad1!E38</f>
        <v>0</v>
      </c>
      <c r="F16">
        <f t="shared" si="0"/>
        <v>3000</v>
      </c>
      <c r="G16">
        <f>IF(A16&lt;=Blad1!$E$16,SUM(B16:E16),0)</f>
        <v>3000</v>
      </c>
      <c r="H16" s="3">
        <f>$H$3+NPV($H$1,$F$4:F16)</f>
        <v>20345.457296597713</v>
      </c>
      <c r="I16" s="2">
        <f t="shared" si="1"/>
        <v>0</v>
      </c>
    </row>
    <row r="17" spans="1:9" x14ac:dyDescent="0.25">
      <c r="A17">
        <v>14</v>
      </c>
      <c r="B17">
        <f>IF(A17=Blad1!$E$16,Blad1!$E$17,0)</f>
        <v>0</v>
      </c>
      <c r="C17">
        <f>IF(A17&lt;=Blad1!$E$11,'Worst case'!$C$1,0)</f>
        <v>0</v>
      </c>
      <c r="D17">
        <f t="shared" si="2"/>
        <v>3000</v>
      </c>
      <c r="E17">
        <f>Blad1!E39</f>
        <v>0</v>
      </c>
      <c r="F17">
        <f t="shared" si="0"/>
        <v>3000</v>
      </c>
      <c r="G17">
        <f>IF(A17&lt;=Blad1!$E$16,SUM(B17:E17),0)</f>
        <v>3000</v>
      </c>
      <c r="H17" s="3">
        <f>$H$3+NPV($H$1,$F$4:F17)</f>
        <v>21860.661155584265</v>
      </c>
      <c r="I17" s="2">
        <f t="shared" si="1"/>
        <v>0</v>
      </c>
    </row>
    <row r="18" spans="1:9" x14ac:dyDescent="0.25">
      <c r="A18">
        <v>15</v>
      </c>
      <c r="B18">
        <f>IF(A18=Blad1!$E$16,Blad1!$E$17,0)</f>
        <v>0</v>
      </c>
      <c r="C18">
        <f>IF(A18&lt;=Blad1!$E$11,'Worst case'!$C$1,0)</f>
        <v>0</v>
      </c>
      <c r="D18">
        <f t="shared" si="2"/>
        <v>3000</v>
      </c>
      <c r="E18">
        <f>Blad1!E40</f>
        <v>0</v>
      </c>
      <c r="F18">
        <f t="shared" si="0"/>
        <v>3000</v>
      </c>
      <c r="G18">
        <f>IF(A18&lt;=Blad1!$E$16,SUM(B18:E18),0)</f>
        <v>3000</v>
      </c>
      <c r="H18" s="3">
        <f>$H$3+NPV($H$1,$F$4:F18)</f>
        <v>23303.712449857172</v>
      </c>
      <c r="I18" s="2">
        <f t="shared" si="1"/>
        <v>0</v>
      </c>
    </row>
    <row r="19" spans="1:9" x14ac:dyDescent="0.25">
      <c r="A19">
        <v>16</v>
      </c>
      <c r="B19">
        <f>IF(A19=Blad1!$E$16,Blad1!$E$17,0)</f>
        <v>0</v>
      </c>
      <c r="C19">
        <f>IF(A19&lt;=Blad1!$E$11,'Worst case'!$C$1,0)</f>
        <v>0</v>
      </c>
      <c r="D19">
        <f t="shared" si="2"/>
        <v>3000</v>
      </c>
      <c r="E19">
        <f>Blad1!E41</f>
        <v>0</v>
      </c>
      <c r="F19">
        <f t="shared" si="0"/>
        <v>3000</v>
      </c>
      <c r="G19">
        <f>IF(A19&lt;=Blad1!$E$16,SUM(B19:E19),0)</f>
        <v>0</v>
      </c>
      <c r="H19" s="3">
        <f>$H$3+NPV($H$1,$F$4:F19)</f>
        <v>24678.047015831376</v>
      </c>
      <c r="I19" s="2">
        <f t="shared" si="1"/>
        <v>0</v>
      </c>
    </row>
    <row r="20" spans="1:9" x14ac:dyDescent="0.25">
      <c r="A20">
        <v>17</v>
      </c>
      <c r="B20">
        <f>IF(A20=Blad1!$E$16,Blad1!$E$17,0)</f>
        <v>0</v>
      </c>
      <c r="C20">
        <f>IF(A20&lt;=Blad1!$E$11,'Worst case'!$C$1,0)</f>
        <v>0</v>
      </c>
      <c r="D20">
        <f t="shared" si="2"/>
        <v>3000</v>
      </c>
      <c r="E20">
        <f>Blad1!E42</f>
        <v>0</v>
      </c>
      <c r="F20">
        <f t="shared" si="0"/>
        <v>3000</v>
      </c>
      <c r="G20">
        <f>IF(A20&lt;=Blad1!$E$16,SUM(B20:E20),0)</f>
        <v>0</v>
      </c>
      <c r="H20" s="3">
        <f>$H$3+NPV($H$1,$F$4:F20)</f>
        <v>25986.937078663948</v>
      </c>
      <c r="I20" s="2">
        <f t="shared" si="1"/>
        <v>0</v>
      </c>
    </row>
    <row r="21" spans="1:9" x14ac:dyDescent="0.25">
      <c r="A21">
        <v>18</v>
      </c>
      <c r="B21">
        <f>IF(A21=Blad1!$E$16,Blad1!$E$17,0)</f>
        <v>0</v>
      </c>
      <c r="C21">
        <f>IF(A21&lt;=Blad1!$E$11,'Worst case'!$C$1,0)</f>
        <v>0</v>
      </c>
      <c r="D21">
        <f t="shared" si="2"/>
        <v>3000</v>
      </c>
      <c r="E21">
        <f>Blad1!E43</f>
        <v>0</v>
      </c>
      <c r="F21">
        <f t="shared" si="0"/>
        <v>3000</v>
      </c>
      <c r="G21">
        <f>IF(A21&lt;=Blad1!$E$16,SUM(B21:E21),0)</f>
        <v>0</v>
      </c>
      <c r="H21" s="3">
        <f>$H$3+NPV($H$1,$F$4:F21)</f>
        <v>27233.499043266391</v>
      </c>
      <c r="I21" s="2">
        <f t="shared" si="1"/>
        <v>0</v>
      </c>
    </row>
    <row r="22" spans="1:9" x14ac:dyDescent="0.25">
      <c r="A22">
        <v>19</v>
      </c>
      <c r="B22">
        <f>IF(A22=Blad1!$E$16,Blad1!$E$17,0)</f>
        <v>0</v>
      </c>
      <c r="C22">
        <f>IF(A22&lt;=Blad1!$E$11,'Worst case'!$C$1,0)</f>
        <v>0</v>
      </c>
      <c r="D22">
        <f t="shared" si="2"/>
        <v>3000</v>
      </c>
      <c r="E22">
        <f>Blad1!E44</f>
        <v>0</v>
      </c>
      <c r="F22">
        <f t="shared" si="0"/>
        <v>3000</v>
      </c>
      <c r="G22">
        <f>IF(A22&lt;=Blad1!$E$16,SUM(B22:E22),0)</f>
        <v>0</v>
      </c>
      <c r="H22" s="3">
        <f>$H$3+NPV($H$1,$F$4:F22)</f>
        <v>28420.700914316345</v>
      </c>
      <c r="I22" s="2">
        <f t="shared" si="1"/>
        <v>0</v>
      </c>
    </row>
    <row r="23" spans="1:9" x14ac:dyDescent="0.25">
      <c r="A23">
        <v>20</v>
      </c>
      <c r="B23">
        <f>IF(A23=Blad1!$E$16,Blad1!$E$17,0)</f>
        <v>0</v>
      </c>
      <c r="C23">
        <f>IF(A23&lt;=Blad1!$E$11,'Worst case'!$C$1,0)</f>
        <v>0</v>
      </c>
      <c r="D23">
        <f t="shared" si="2"/>
        <v>3000</v>
      </c>
      <c r="E23">
        <f>Blad1!E45</f>
        <v>0</v>
      </c>
      <c r="F23">
        <f t="shared" si="0"/>
        <v>3000</v>
      </c>
      <c r="G23">
        <f>IF(A23&lt;=Blad1!$E$16,SUM(B23:E23),0)</f>
        <v>0</v>
      </c>
      <c r="H23" s="3">
        <f>$H$3+NPV($H$1,$F$4:F23)</f>
        <v>29551.369362935351</v>
      </c>
      <c r="I23" s="2">
        <f t="shared" si="1"/>
        <v>0</v>
      </c>
    </row>
    <row r="24" spans="1:9" x14ac:dyDescent="0.25">
      <c r="A24">
        <v>21</v>
      </c>
      <c r="B24">
        <f>IF(A24=Blad1!$E$16,Blad1!$E$17,0)</f>
        <v>0</v>
      </c>
      <c r="C24">
        <f>IF(A24&lt;=Blad1!$E$11,'Worst case'!$C$1,0)</f>
        <v>0</v>
      </c>
      <c r="D24">
        <f t="shared" si="2"/>
        <v>3000</v>
      </c>
      <c r="E24">
        <f>Blad1!E46</f>
        <v>0</v>
      </c>
      <c r="F24">
        <f t="shared" si="0"/>
        <v>3000</v>
      </c>
      <c r="G24">
        <f>IF(A24&lt;=Blad1!$E$16,SUM(B24:E24),0)</f>
        <v>0</v>
      </c>
      <c r="H24" s="3">
        <f>$H$3+NPV($H$1,$F$4:F24)</f>
        <v>30628.196456858204</v>
      </c>
      <c r="I24" s="2">
        <f t="shared" si="1"/>
        <v>0</v>
      </c>
    </row>
    <row r="25" spans="1:9" x14ac:dyDescent="0.25">
      <c r="A25">
        <v>22</v>
      </c>
      <c r="B25">
        <f>IF(A25=Blad1!$E$16,Blad1!$E$17,0)</f>
        <v>0</v>
      </c>
      <c r="C25">
        <f>IF(A25&lt;=Blad1!$E$11,'Worst case'!$C$1,0)</f>
        <v>0</v>
      </c>
      <c r="D25">
        <f t="shared" si="2"/>
        <v>3000</v>
      </c>
      <c r="E25">
        <f>Blad1!E47</f>
        <v>0</v>
      </c>
      <c r="F25">
        <f t="shared" si="0"/>
        <v>3000</v>
      </c>
      <c r="G25">
        <f>IF(A25&lt;=Blad1!$E$16,SUM(B25:E25),0)</f>
        <v>0</v>
      </c>
      <c r="H25" s="3">
        <f>$H$3+NPV($H$1,$F$4:F25)</f>
        <v>31653.746070118075</v>
      </c>
      <c r="I25" s="2">
        <f t="shared" si="1"/>
        <v>0</v>
      </c>
    </row>
    <row r="26" spans="1:9" x14ac:dyDescent="0.25">
      <c r="A26">
        <v>23</v>
      </c>
      <c r="B26">
        <f>IF(A26=Blad1!$E$16,Blad1!$E$17,0)</f>
        <v>0</v>
      </c>
      <c r="C26">
        <f>IF(A26&lt;=Blad1!$E$11,'Worst case'!$C$1,0)</f>
        <v>0</v>
      </c>
      <c r="D26">
        <f t="shared" si="2"/>
        <v>3000</v>
      </c>
      <c r="E26">
        <f>Blad1!E48</f>
        <v>0</v>
      </c>
      <c r="F26">
        <f t="shared" si="0"/>
        <v>3000</v>
      </c>
      <c r="G26">
        <f>IF(A26&lt;=Blad1!$E$16,SUM(B26:E26),0)</f>
        <v>0</v>
      </c>
      <c r="H26" s="3">
        <f>$H$3+NPV($H$1,$F$4:F26)</f>
        <v>32630.459987508417</v>
      </c>
      <c r="I26" s="2">
        <f t="shared" si="1"/>
        <v>0</v>
      </c>
    </row>
    <row r="27" spans="1:9" x14ac:dyDescent="0.25">
      <c r="A27">
        <v>24</v>
      </c>
      <c r="B27">
        <f>IF(A27=Blad1!$E$16,Blad1!$E$17,0)</f>
        <v>0</v>
      </c>
      <c r="C27">
        <f>IF(A27&lt;=Blad1!$E$11,'Worst case'!$C$1,0)</f>
        <v>0</v>
      </c>
      <c r="D27">
        <f t="shared" si="2"/>
        <v>3000</v>
      </c>
      <c r="E27">
        <f>Blad1!E49</f>
        <v>0</v>
      </c>
      <c r="F27">
        <f t="shared" si="0"/>
        <v>3000</v>
      </c>
      <c r="G27">
        <f>IF(A27&lt;=Blad1!$E$16,SUM(B27:E27),0)</f>
        <v>0</v>
      </c>
      <c r="H27" s="3">
        <f>$H$3+NPV($H$1,$F$4:F27)</f>
        <v>33560.663718356373</v>
      </c>
      <c r="I27" s="2">
        <f t="shared" si="1"/>
        <v>0</v>
      </c>
    </row>
    <row r="28" spans="1:9" x14ac:dyDescent="0.25">
      <c r="A28">
        <v>25</v>
      </c>
      <c r="B28">
        <f>IF(A28=Blad1!$E$16,Blad1!$E$17,0)</f>
        <v>0</v>
      </c>
      <c r="C28">
        <f>IF(A28&lt;=Blad1!$E$11,'Worst case'!$C$1,0)</f>
        <v>0</v>
      </c>
      <c r="D28">
        <f t="shared" si="2"/>
        <v>3000</v>
      </c>
      <c r="E28">
        <f>Blad1!E50</f>
        <v>0</v>
      </c>
      <c r="F28">
        <f t="shared" si="0"/>
        <v>3000</v>
      </c>
      <c r="G28">
        <f>IF(A28&lt;=Blad1!$E$16,SUM(B28:E28),0)</f>
        <v>0</v>
      </c>
      <c r="H28" s="3">
        <f>$H$3+NPV($H$1,$F$4:F28)</f>
        <v>34446.572033449658</v>
      </c>
      <c r="I28" s="2">
        <f t="shared" si="1"/>
        <v>0</v>
      </c>
    </row>
    <row r="29" spans="1:9" x14ac:dyDescent="0.25">
      <c r="A29">
        <v>26</v>
      </c>
      <c r="B29">
        <f>IF(A29=Blad1!$E$16,Blad1!$E$17,0)</f>
        <v>0</v>
      </c>
      <c r="C29">
        <f>IF(A29&lt;=Blad1!$E$11,'Worst case'!$C$1,0)</f>
        <v>0</v>
      </c>
      <c r="D29">
        <f t="shared" si="2"/>
        <v>3000</v>
      </c>
      <c r="E29">
        <f>Blad1!E51</f>
        <v>0</v>
      </c>
      <c r="F29">
        <f t="shared" si="0"/>
        <v>3000</v>
      </c>
      <c r="G29">
        <f>IF(A29&lt;=Blad1!$E$16,SUM(B29:E29),0)</f>
        <v>0</v>
      </c>
      <c r="H29" s="3">
        <f>$H$3+NPV($H$1,$F$4:F29)</f>
        <v>35290.294238300405</v>
      </c>
      <c r="I29" s="2">
        <f t="shared" si="1"/>
        <v>0</v>
      </c>
    </row>
    <row r="30" spans="1:9" x14ac:dyDescent="0.25">
      <c r="A30">
        <v>27</v>
      </c>
      <c r="B30">
        <f>IF(A30=Blad1!$E$16,Blad1!$E$17,0)</f>
        <v>0</v>
      </c>
      <c r="C30">
        <f>IF(A30&lt;=Blad1!$E$11,'Worst case'!$C$1,0)</f>
        <v>0</v>
      </c>
      <c r="D30">
        <f t="shared" si="2"/>
        <v>3000</v>
      </c>
      <c r="E30">
        <f>Blad1!E52</f>
        <v>0</v>
      </c>
      <c r="F30">
        <f t="shared" si="0"/>
        <v>3000</v>
      </c>
      <c r="G30">
        <f>IF(A30&lt;=Blad1!$E$16,SUM(B30:E30),0)</f>
        <v>0</v>
      </c>
      <c r="H30" s="3">
        <f>$H$3+NPV($H$1,$F$4:F30)</f>
        <v>36093.839195301116</v>
      </c>
      <c r="I30" s="2">
        <f t="shared" si="1"/>
        <v>0</v>
      </c>
    </row>
    <row r="31" spans="1:9" x14ac:dyDescent="0.25">
      <c r="A31">
        <v>28</v>
      </c>
      <c r="B31">
        <f>IF(A31=Blad1!$E$16,Blad1!$E$17,0)</f>
        <v>0</v>
      </c>
      <c r="C31">
        <f>IF(A31&lt;=Blad1!$E$11,'Worst case'!$C$1,0)</f>
        <v>0</v>
      </c>
      <c r="D31">
        <f t="shared" si="2"/>
        <v>3000</v>
      </c>
      <c r="E31">
        <f>Blad1!E53</f>
        <v>0</v>
      </c>
      <c r="F31">
        <f t="shared" si="0"/>
        <v>3000</v>
      </c>
      <c r="G31">
        <f>IF(A31&lt;=Blad1!$E$16,SUM(B31:E31),0)</f>
        <v>0</v>
      </c>
      <c r="H31" s="3">
        <f>$H$3+NPV($H$1,$F$4:F31)</f>
        <v>36859.120106730363</v>
      </c>
      <c r="I31" s="2">
        <f t="shared" si="1"/>
        <v>0</v>
      </c>
    </row>
    <row r="32" spans="1:9" x14ac:dyDescent="0.25">
      <c r="A32">
        <v>29</v>
      </c>
      <c r="B32">
        <f>IF(A32=Blad1!$E$16,Blad1!$E$17,0)</f>
        <v>0</v>
      </c>
      <c r="C32">
        <f>IF(A32&lt;=Blad1!$E$11,'Worst case'!$C$1,0)</f>
        <v>0</v>
      </c>
      <c r="D32">
        <f t="shared" si="2"/>
        <v>3000</v>
      </c>
      <c r="E32">
        <f>Blad1!E54</f>
        <v>0</v>
      </c>
      <c r="F32">
        <f t="shared" si="0"/>
        <v>3000</v>
      </c>
      <c r="G32">
        <f>IF(A32&lt;=Blad1!$E$16,SUM(B32:E32),0)</f>
        <v>0</v>
      </c>
      <c r="H32" s="3">
        <f>$H$3+NPV($H$1,$F$4:F32)</f>
        <v>37587.959069996316</v>
      </c>
      <c r="I32" s="2">
        <f t="shared" si="1"/>
        <v>0</v>
      </c>
    </row>
    <row r="33" spans="1:9" x14ac:dyDescent="0.25">
      <c r="A33">
        <v>30</v>
      </c>
      <c r="B33">
        <f>IF(A33=Blad1!$E$16,Blad1!$E$17,0)</f>
        <v>0</v>
      </c>
      <c r="C33">
        <f>IF(A33&lt;=Blad1!$E$11,'Worst case'!$C$1,0)</f>
        <v>0</v>
      </c>
      <c r="D33">
        <f t="shared" si="2"/>
        <v>3000</v>
      </c>
      <c r="E33">
        <f>Blad1!E55</f>
        <v>0</v>
      </c>
      <c r="F33">
        <f t="shared" si="0"/>
        <v>3000</v>
      </c>
      <c r="G33">
        <f>IF(A33&lt;=Blad1!$E$16,SUM(B33:E33),0)</f>
        <v>0</v>
      </c>
      <c r="H33" s="3">
        <f>$H$3+NPV($H$1,$F$4:F33)</f>
        <v>38282.091415963885</v>
      </c>
      <c r="I33" s="2">
        <f t="shared" si="1"/>
        <v>0</v>
      </c>
    </row>
    <row r="34" spans="1:9" x14ac:dyDescent="0.25">
      <c r="A34">
        <v>31</v>
      </c>
      <c r="B34">
        <f>IF(A34=Blad1!$E$16,Blad1!$E$17,0)</f>
        <v>0</v>
      </c>
      <c r="C34">
        <f>IF(A34&lt;=Blad1!$E$11,'Worst case'!$C$1,0)</f>
        <v>0</v>
      </c>
      <c r="D34">
        <f t="shared" si="2"/>
        <v>3000</v>
      </c>
      <c r="E34">
        <f>Blad1!E56</f>
        <v>0</v>
      </c>
      <c r="F34">
        <f t="shared" si="0"/>
        <v>3000</v>
      </c>
      <c r="G34">
        <f>IF(A34&lt;=Blad1!$E$16,SUM(B34:E34),0)</f>
        <v>0</v>
      </c>
      <c r="H34" s="3">
        <f>$H$3+NPV($H$1,$F$4:F34)</f>
        <v>38943.169840694914</v>
      </c>
      <c r="I34" s="2">
        <f t="shared" si="1"/>
        <v>0</v>
      </c>
    </row>
    <row r="35" spans="1:9" x14ac:dyDescent="0.25">
      <c r="A35">
        <v>32</v>
      </c>
      <c r="B35">
        <f>IF(A35=Blad1!$E$16,Blad1!$E$17,0)</f>
        <v>0</v>
      </c>
      <c r="C35">
        <f>IF(A35&lt;=Blad1!$E$11,'Worst case'!$C$1,0)</f>
        <v>0</v>
      </c>
      <c r="D35">
        <f t="shared" si="2"/>
        <v>3000</v>
      </c>
      <c r="E35">
        <f>Blad1!E57</f>
        <v>0</v>
      </c>
      <c r="F35">
        <f t="shared" si="0"/>
        <v>3000</v>
      </c>
      <c r="G35">
        <f>IF(A35&lt;=Blad1!$E$16,SUM(B35:E35),0)</f>
        <v>0</v>
      </c>
      <c r="H35" s="3">
        <f>$H$3+NPV($H$1,$F$4:F35)</f>
        <v>39572.768340438743</v>
      </c>
      <c r="I35" s="2">
        <f t="shared" si="1"/>
        <v>0</v>
      </c>
    </row>
    <row r="36" spans="1:9" x14ac:dyDescent="0.25">
      <c r="A36">
        <v>33</v>
      </c>
      <c r="B36">
        <f>IF(A36=Blad1!$E$16,Blad1!$E$17,0)</f>
        <v>0</v>
      </c>
      <c r="C36">
        <f>IF(A36&lt;=Blad1!$E$11,'Worst case'!$C$1,0)</f>
        <v>0</v>
      </c>
      <c r="D36">
        <f t="shared" si="2"/>
        <v>3000</v>
      </c>
      <c r="E36">
        <f>Blad1!E58</f>
        <v>0</v>
      </c>
      <c r="F36">
        <f t="shared" si="0"/>
        <v>3000</v>
      </c>
      <c r="G36">
        <f>IF(A36&lt;=Blad1!$E$16,SUM(B36:E36),0)</f>
        <v>0</v>
      </c>
      <c r="H36" s="3">
        <f>$H$3+NPV($H$1,$F$4:F36)</f>
        <v>40172.385959242391</v>
      </c>
      <c r="I36" s="2">
        <f t="shared" si="1"/>
        <v>0</v>
      </c>
    </row>
    <row r="37" spans="1:9" x14ac:dyDescent="0.25">
      <c r="A37">
        <v>34</v>
      </c>
      <c r="B37">
        <f>IF(A37=Blad1!$E$16,Blad1!$E$17,0)</f>
        <v>0</v>
      </c>
      <c r="C37">
        <f>IF(A37&lt;=Blad1!$E$11,'Worst case'!$C$1,0)</f>
        <v>0</v>
      </c>
      <c r="D37">
        <f t="shared" si="2"/>
        <v>3000</v>
      </c>
      <c r="E37">
        <f>Blad1!E59</f>
        <v>0</v>
      </c>
      <c r="F37">
        <f t="shared" si="0"/>
        <v>3000</v>
      </c>
      <c r="G37">
        <f>IF(A37&lt;=Blad1!$E$16,SUM(B37:E37),0)</f>
        <v>0</v>
      </c>
      <c r="H37" s="3">
        <f>$H$3+NPV($H$1,$F$4:F37)</f>
        <v>40743.450358103008</v>
      </c>
      <c r="I37" s="2">
        <f t="shared" si="1"/>
        <v>0</v>
      </c>
    </row>
    <row r="38" spans="1:9" x14ac:dyDescent="0.25">
      <c r="A38">
        <v>35</v>
      </c>
      <c r="B38">
        <f>IF(A38=Blad1!$E$16,Blad1!$E$17,0)</f>
        <v>0</v>
      </c>
      <c r="C38">
        <f>IF(A38&lt;=Blad1!$E$11,'Worst case'!$C$1,0)</f>
        <v>0</v>
      </c>
      <c r="D38">
        <f t="shared" si="2"/>
        <v>3000</v>
      </c>
      <c r="E38">
        <f>Blad1!E60</f>
        <v>0</v>
      </c>
      <c r="F38">
        <f t="shared" si="0"/>
        <v>3000</v>
      </c>
      <c r="G38">
        <f>IF(A38&lt;=Blad1!$E$16,SUM(B38:E38),0)</f>
        <v>0</v>
      </c>
      <c r="H38" s="3">
        <f>$H$3+NPV($H$1,$F$4:F38)</f>
        <v>41287.321214160736</v>
      </c>
      <c r="I38" s="2">
        <f t="shared" si="1"/>
        <v>0</v>
      </c>
    </row>
    <row r="39" spans="1:9" x14ac:dyDescent="0.25">
      <c r="A39">
        <v>36</v>
      </c>
      <c r="B39">
        <f>IF(A39=Blad1!$E$16,Blad1!$E$17,0)</f>
        <v>0</v>
      </c>
      <c r="C39">
        <f>IF(A39&lt;=Blad1!$E$11,'Worst case'!$C$1,0)</f>
        <v>0</v>
      </c>
      <c r="D39">
        <f t="shared" si="2"/>
        <v>3000</v>
      </c>
      <c r="E39">
        <f>Blad1!E61</f>
        <v>0</v>
      </c>
      <c r="F39">
        <f t="shared" si="0"/>
        <v>3000</v>
      </c>
      <c r="G39">
        <f>IF(A39&lt;=Blad1!$E$16,SUM(B39:E39),0)</f>
        <v>0</v>
      </c>
      <c r="H39" s="3">
        <f>$H$3+NPV($H$1,$F$4:F39)</f>
        <v>41805.29345802524</v>
      </c>
      <c r="I39" s="2">
        <f t="shared" si="1"/>
        <v>0</v>
      </c>
    </row>
    <row r="40" spans="1:9" x14ac:dyDescent="0.25">
      <c r="A40">
        <v>37</v>
      </c>
      <c r="B40">
        <f>IF(A40=Blad1!$E$16,Blad1!$E$17,0)</f>
        <v>0</v>
      </c>
      <c r="C40">
        <f>IF(A40&lt;=Blad1!$E$11,'Worst case'!$C$1,0)</f>
        <v>0</v>
      </c>
      <c r="D40">
        <f t="shared" si="2"/>
        <v>3000</v>
      </c>
      <c r="E40">
        <f>Blad1!E62</f>
        <v>0</v>
      </c>
      <c r="F40">
        <f t="shared" si="0"/>
        <v>3000</v>
      </c>
      <c r="G40">
        <f>IF(A40&lt;=Blad1!$E$16,SUM(B40:E40),0)</f>
        <v>0</v>
      </c>
      <c r="H40" s="3">
        <f>$H$3+NPV($H$1,$F$4:F40)</f>
        <v>42298.600356943818</v>
      </c>
      <c r="I40" s="2">
        <f t="shared" si="1"/>
        <v>0</v>
      </c>
    </row>
    <row r="41" spans="1:9" x14ac:dyDescent="0.25">
      <c r="A41">
        <v>38</v>
      </c>
      <c r="B41">
        <f>IF(A41=Blad1!$E$16,Blad1!$E$17,0)</f>
        <v>0</v>
      </c>
      <c r="C41">
        <f>IF(A41&lt;=Blad1!$E$11,'Worst case'!$C$1,0)</f>
        <v>0</v>
      </c>
      <c r="D41">
        <f t="shared" si="2"/>
        <v>3000</v>
      </c>
      <c r="E41">
        <f>Blad1!E63</f>
        <v>0</v>
      </c>
      <c r="F41">
        <f t="shared" si="0"/>
        <v>3000</v>
      </c>
      <c r="G41">
        <f>IF(A41&lt;=Blad1!$E$16,SUM(B41:E41),0)</f>
        <v>0</v>
      </c>
      <c r="H41" s="3">
        <f>$H$3+NPV($H$1,$F$4:F41)</f>
        <v>42768.416451151985</v>
      </c>
      <c r="I41" s="2">
        <f t="shared" si="1"/>
        <v>0</v>
      </c>
    </row>
    <row r="42" spans="1:9" x14ac:dyDescent="0.25">
      <c r="A42">
        <v>39</v>
      </c>
      <c r="B42">
        <f>IF(A42=Blad1!$E$16,Blad1!$E$17,0)</f>
        <v>0</v>
      </c>
      <c r="C42">
        <f>IF(A42&lt;=Blad1!$E$11,'Worst case'!$C$1,0)</f>
        <v>0</v>
      </c>
      <c r="D42">
        <f t="shared" si="2"/>
        <v>3000</v>
      </c>
      <c r="E42">
        <f>Blad1!E64</f>
        <v>0</v>
      </c>
      <c r="F42">
        <f t="shared" si="0"/>
        <v>3000</v>
      </c>
      <c r="G42">
        <f>IF(A42&lt;=Blad1!$E$16,SUM(B42:E42),0)</f>
        <v>0</v>
      </c>
      <c r="H42" s="3">
        <f>$H$3+NPV($H$1,$F$4:F42)</f>
        <v>43215.860350397859</v>
      </c>
      <c r="I42" s="2">
        <f t="shared" si="1"/>
        <v>0</v>
      </c>
    </row>
    <row r="43" spans="1:9" x14ac:dyDescent="0.25">
      <c r="A43">
        <v>40</v>
      </c>
      <c r="B43">
        <f>IF(A43=Blad1!$E$16,Blad1!$E$17,0)</f>
        <v>0</v>
      </c>
      <c r="C43">
        <f>IF(A43&lt;=Blad1!$E$11,'Worst case'!$C$1,0)</f>
        <v>0</v>
      </c>
      <c r="D43">
        <f t="shared" si="2"/>
        <v>3000</v>
      </c>
      <c r="E43">
        <f>Blad1!E65</f>
        <v>0</v>
      </c>
      <c r="F43">
        <f t="shared" si="0"/>
        <v>3000</v>
      </c>
      <c r="G43">
        <f>IF(A43&lt;=Blad1!$E$16,SUM(B43:E43),0)</f>
        <v>0</v>
      </c>
      <c r="H43" s="3">
        <f>$H$3+NPV($H$1,$F$4:F43)</f>
        <v>43641.997397298692</v>
      </c>
      <c r="I43" s="2">
        <f t="shared" si="1"/>
        <v>0</v>
      </c>
    </row>
    <row r="44" spans="1:9" x14ac:dyDescent="0.25">
      <c r="A44">
        <v>41</v>
      </c>
      <c r="B44">
        <f>IF(A44=Blad1!$E$16,Blad1!$E$17,0)</f>
        <v>0</v>
      </c>
      <c r="C44">
        <f>IF(A44&lt;=Blad1!$E$11,'Worst case'!$C$1,0)</f>
        <v>0</v>
      </c>
      <c r="D44">
        <f t="shared" si="2"/>
        <v>3000</v>
      </c>
      <c r="E44">
        <f>Blad1!E66</f>
        <v>0</v>
      </c>
      <c r="F44">
        <f t="shared" si="0"/>
        <v>3000</v>
      </c>
      <c r="G44">
        <f>IF(A44&lt;=Blad1!$E$16,SUM(B44:E44),0)</f>
        <v>0</v>
      </c>
      <c r="H44" s="3">
        <f>$H$3+NPV($H$1,$F$4:F44)</f>
        <v>44047.84220387091</v>
      </c>
      <c r="I44" s="2">
        <f t="shared" si="1"/>
        <v>0</v>
      </c>
    </row>
    <row r="45" spans="1:9" x14ac:dyDescent="0.25">
      <c r="A45">
        <v>42</v>
      </c>
      <c r="B45">
        <f>IF(A45=Blad1!$E$16,Blad1!$E$17,0)</f>
        <v>0</v>
      </c>
      <c r="C45">
        <f>IF(A45&lt;=Blad1!$E$11,'Worst case'!$C$1,0)</f>
        <v>0</v>
      </c>
      <c r="D45">
        <f t="shared" si="2"/>
        <v>3000</v>
      </c>
      <c r="E45">
        <f>Blad1!E67</f>
        <v>0</v>
      </c>
      <c r="F45">
        <f t="shared" si="0"/>
        <v>3000</v>
      </c>
      <c r="G45">
        <f>IF(A45&lt;=Blad1!$E$16,SUM(B45:E45),0)</f>
        <v>0</v>
      </c>
      <c r="H45" s="3">
        <f>$H$3+NPV($H$1,$F$4:F45)</f>
        <v>44434.361067273021</v>
      </c>
      <c r="I45" s="2">
        <f t="shared" si="1"/>
        <v>0</v>
      </c>
    </row>
    <row r="46" spans="1:9" x14ac:dyDescent="0.25">
      <c r="A46">
        <v>43</v>
      </c>
      <c r="B46">
        <f>IF(A46=Blad1!$E$16,Blad1!$E$17,0)</f>
        <v>0</v>
      </c>
      <c r="C46">
        <f>IF(A46&lt;=Blad1!$E$11,'Worst case'!$C$1,0)</f>
        <v>0</v>
      </c>
      <c r="D46">
        <f t="shared" si="2"/>
        <v>3000</v>
      </c>
      <c r="E46">
        <f>Blad1!E68</f>
        <v>0</v>
      </c>
      <c r="F46">
        <f t="shared" si="0"/>
        <v>3000</v>
      </c>
      <c r="G46">
        <f>IF(A46&lt;=Blad1!$E$16,SUM(B46:E46),0)</f>
        <v>0</v>
      </c>
      <c r="H46" s="3">
        <f>$H$3+NPV($H$1,$F$4:F46)</f>
        <v>44802.474270513136</v>
      </c>
      <c r="I46" s="2">
        <f t="shared" si="1"/>
        <v>0</v>
      </c>
    </row>
    <row r="47" spans="1:9" x14ac:dyDescent="0.25">
      <c r="A47">
        <v>44</v>
      </c>
      <c r="B47">
        <f>IF(A47=Blad1!$E$16,Blad1!$E$17,0)</f>
        <v>0</v>
      </c>
      <c r="C47">
        <f>IF(A47&lt;=Blad1!$E$11,'Worst case'!$C$1,0)</f>
        <v>0</v>
      </c>
      <c r="D47">
        <f t="shared" si="2"/>
        <v>3000</v>
      </c>
      <c r="E47">
        <f>Blad1!E69</f>
        <v>0</v>
      </c>
      <c r="F47">
        <f t="shared" si="0"/>
        <v>3000</v>
      </c>
      <c r="G47">
        <f>IF(A47&lt;=Blad1!$E$16,SUM(B47:E47),0)</f>
        <v>0</v>
      </c>
      <c r="H47" s="3">
        <f>$H$3+NPV($H$1,$F$4:F47)</f>
        <v>45153.058273598952</v>
      </c>
      <c r="I47" s="2">
        <f t="shared" si="1"/>
        <v>0</v>
      </c>
    </row>
    <row r="48" spans="1:9" x14ac:dyDescent="0.25">
      <c r="A48">
        <v>45</v>
      </c>
      <c r="B48">
        <f>IF(A48=Blad1!$E$16,Blad1!$E$17,0)</f>
        <v>0</v>
      </c>
      <c r="C48">
        <f>IF(A48&lt;=Blad1!$E$11,'Worst case'!$C$1,0)</f>
        <v>0</v>
      </c>
      <c r="D48">
        <f t="shared" si="2"/>
        <v>3000</v>
      </c>
      <c r="E48">
        <f>Blad1!E70</f>
        <v>0</v>
      </c>
      <c r="F48">
        <f t="shared" si="0"/>
        <v>3000</v>
      </c>
      <c r="G48">
        <f>IF(A48&lt;=Blad1!$E$16,SUM(B48:E48),0)</f>
        <v>0</v>
      </c>
      <c r="H48" s="3">
        <f>$H$3+NPV($H$1,$F$4:F48)</f>
        <v>45486.947800347349</v>
      </c>
      <c r="I48" s="2">
        <f t="shared" si="1"/>
        <v>0</v>
      </c>
    </row>
    <row r="49" spans="1:9" x14ac:dyDescent="0.25">
      <c r="A49">
        <v>46</v>
      </c>
      <c r="B49">
        <f>IF(A49=Blad1!$E$16,Blad1!$E$17,0)</f>
        <v>0</v>
      </c>
      <c r="C49">
        <f>IF(A49&lt;=Blad1!$E$11,'Worst case'!$C$1,0)</f>
        <v>0</v>
      </c>
      <c r="D49">
        <f t="shared" si="2"/>
        <v>3000</v>
      </c>
      <c r="E49">
        <f>Blad1!E71</f>
        <v>0</v>
      </c>
      <c r="F49">
        <f t="shared" si="0"/>
        <v>3000</v>
      </c>
      <c r="G49">
        <f>IF(A49&lt;=Blad1!$E$16,SUM(B49:E49),0)</f>
        <v>0</v>
      </c>
      <c r="H49" s="3">
        <f>$H$3+NPV($H$1,$F$4:F49)</f>
        <v>45804.937825822009</v>
      </c>
      <c r="I49" s="2">
        <f t="shared" si="1"/>
        <v>0</v>
      </c>
    </row>
    <row r="50" spans="1:9" x14ac:dyDescent="0.25">
      <c r="A50">
        <v>47</v>
      </c>
      <c r="B50">
        <f>IF(A50=Blad1!$E$16,Blad1!$E$17,0)</f>
        <v>0</v>
      </c>
      <c r="C50">
        <f>IF(A50&lt;=Blad1!$E$11,'Worst case'!$C$1,0)</f>
        <v>0</v>
      </c>
      <c r="D50">
        <f t="shared" si="2"/>
        <v>3000</v>
      </c>
      <c r="E50">
        <f>Blad1!E72</f>
        <v>0</v>
      </c>
      <c r="F50">
        <f t="shared" si="0"/>
        <v>3000</v>
      </c>
      <c r="G50">
        <f>IF(A50&lt;=Blad1!$E$16,SUM(B50:E50),0)</f>
        <v>0</v>
      </c>
      <c r="H50" s="3">
        <f>$H$3+NPV($H$1,$F$4:F50)</f>
        <v>46107.785469131217</v>
      </c>
      <c r="I50" s="2">
        <f t="shared" si="1"/>
        <v>0</v>
      </c>
    </row>
    <row r="51" spans="1:9" x14ac:dyDescent="0.25">
      <c r="A51">
        <v>48</v>
      </c>
      <c r="B51">
        <f>IF(A51=Blad1!$E$16,Blad1!$E$17,0)</f>
        <v>0</v>
      </c>
      <c r="C51">
        <f>IF(A51&lt;=Blad1!$E$11,'Worst case'!$C$1,0)</f>
        <v>0</v>
      </c>
      <c r="D51">
        <f t="shared" si="2"/>
        <v>3000</v>
      </c>
      <c r="E51">
        <f>Blad1!E73</f>
        <v>0</v>
      </c>
      <c r="F51">
        <f t="shared" si="0"/>
        <v>3000</v>
      </c>
      <c r="G51">
        <f>IF(A51&lt;=Blad1!$E$16,SUM(B51:E51),0)</f>
        <v>0</v>
      </c>
      <c r="H51" s="3">
        <f>$H$3+NPV($H$1,$F$4:F51)</f>
        <v>46396.211796092372</v>
      </c>
      <c r="I51" s="2">
        <f t="shared" si="1"/>
        <v>0</v>
      </c>
    </row>
    <row r="52" spans="1:9" x14ac:dyDescent="0.25">
      <c r="A52">
        <v>49</v>
      </c>
      <c r="B52">
        <f>IF(A52=Blad1!$E$16,Blad1!$E$17,0)</f>
        <v>0</v>
      </c>
      <c r="C52">
        <f>IF(A52&lt;=Blad1!$E$11,'Worst case'!$C$1,0)</f>
        <v>0</v>
      </c>
      <c r="D52">
        <f t="shared" si="2"/>
        <v>3000</v>
      </c>
      <c r="E52">
        <f>Blad1!E74</f>
        <v>0</v>
      </c>
      <c r="F52">
        <f t="shared" si="0"/>
        <v>3000</v>
      </c>
      <c r="G52">
        <f>IF(A52&lt;=Blad1!$E$16,SUM(B52:E52),0)</f>
        <v>0</v>
      </c>
      <c r="H52" s="3">
        <f>$H$3+NPV($H$1,$F$4:F52)</f>
        <v>46670.903536055368</v>
      </c>
      <c r="I52" s="2">
        <f t="shared" si="1"/>
        <v>0</v>
      </c>
    </row>
    <row r="53" spans="1:9" x14ac:dyDescent="0.25">
      <c r="A53">
        <v>50</v>
      </c>
      <c r="B53">
        <f>IF(A53=Blad1!$E$16,Blad1!$E$17,0)</f>
        <v>0</v>
      </c>
      <c r="C53">
        <f>IF(A53&lt;=Blad1!$E$11,'Worst case'!$C$1,0)</f>
        <v>0</v>
      </c>
      <c r="D53">
        <f t="shared" si="2"/>
        <v>3000</v>
      </c>
      <c r="E53">
        <f>Blad1!E75</f>
        <v>0</v>
      </c>
      <c r="F53">
        <f t="shared" si="0"/>
        <v>3000</v>
      </c>
      <c r="G53">
        <f>IF(A53&lt;=Blad1!$E$16,SUM(B53:E53),0)</f>
        <v>0</v>
      </c>
      <c r="H53" s="3">
        <f>$H$3+NPV($H$1,$F$4:F53)</f>
        <v>46932.51471697251</v>
      </c>
      <c r="I53" s="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Best case</vt:lpstr>
      <vt:lpstr>Average case</vt:lpstr>
      <vt:lpstr>Worst case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van Bruggen</dc:creator>
  <cp:lastModifiedBy>Nicolette Dekker  -TVVL</cp:lastModifiedBy>
  <cp:lastPrinted>2014-04-11T12:43:24Z</cp:lastPrinted>
  <dcterms:created xsi:type="dcterms:W3CDTF">2014-04-10T12:28:13Z</dcterms:created>
  <dcterms:modified xsi:type="dcterms:W3CDTF">2014-09-08T13:04:11Z</dcterms:modified>
</cp:coreProperties>
</file>